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10035" activeTab="2"/>
  </bookViews>
  <sheets>
    <sheet name="MAU 93-ck (2)" sheetId="8" r:id="rId1"/>
    <sheet name="MAU 94-ck (4)" sheetId="10" r:id="rId2"/>
    <sheet name="MAU 95-CK " sheetId="3" r:id="rId3"/>
  </sheets>
  <definedNames>
    <definedName name="_xlnm.Print_Titles" localSheetId="0">'MAU 93-ck (2)'!$9:$10</definedName>
    <definedName name="_xlnm.Print_Titles" localSheetId="1">'MAU 94-ck (4)'!$9:$10</definedName>
    <definedName name="_xlnm.Print_Titles" localSheetId="2">'MAU 95-CK '!$10:$11</definedName>
  </definedNames>
  <calcPr calcId="144525"/>
</workbook>
</file>

<file path=xl/calcChain.xml><?xml version="1.0" encoding="utf-8"?>
<calcChain xmlns="http://schemas.openxmlformats.org/spreadsheetml/2006/main">
  <c r="I32" i="8" l="1"/>
  <c r="I31" i="8"/>
  <c r="I30" i="8"/>
  <c r="I27" i="8"/>
  <c r="I26" i="8"/>
  <c r="I25" i="8"/>
  <c r="I24" i="8"/>
  <c r="I23" i="8"/>
  <c r="I22" i="8"/>
  <c r="I21" i="8"/>
  <c r="I18" i="8"/>
  <c r="I15" i="8"/>
  <c r="I14" i="8"/>
  <c r="I13" i="8"/>
  <c r="I12" i="8"/>
  <c r="F32" i="8"/>
  <c r="F31" i="8"/>
  <c r="F30" i="8"/>
  <c r="F27" i="8"/>
  <c r="F26" i="8"/>
  <c r="F25" i="8"/>
  <c r="F23" i="8"/>
  <c r="F22" i="8"/>
  <c r="F21" i="8"/>
  <c r="F18" i="8"/>
  <c r="F15" i="8"/>
  <c r="F14" i="8"/>
  <c r="F13" i="8"/>
  <c r="F12" i="8"/>
  <c r="H30" i="8" l="1"/>
  <c r="H12" i="8"/>
  <c r="G21" i="8" l="1"/>
  <c r="G24" i="8"/>
  <c r="G14" i="8"/>
  <c r="C22" i="8"/>
  <c r="C24" i="8"/>
  <c r="D24" i="8"/>
  <c r="D10" i="10"/>
  <c r="G30" i="8"/>
  <c r="G23" i="8"/>
  <c r="G13" i="8"/>
  <c r="O39" i="10"/>
  <c r="O38" i="10"/>
  <c r="O33" i="10"/>
  <c r="O32" i="10"/>
  <c r="O28" i="10"/>
  <c r="O26" i="10"/>
  <c r="O25" i="10"/>
  <c r="O24" i="10"/>
  <c r="O23" i="10"/>
  <c r="O22" i="10"/>
  <c r="O20" i="10"/>
  <c r="O18" i="10"/>
  <c r="O17" i="10"/>
  <c r="O15" i="10"/>
  <c r="O14" i="10"/>
  <c r="O13" i="10"/>
  <c r="O12" i="10"/>
  <c r="O11" i="10"/>
  <c r="O10" i="10"/>
  <c r="I39" i="10"/>
  <c r="I38" i="10"/>
  <c r="I33" i="10"/>
  <c r="I32" i="10"/>
  <c r="I28" i="10"/>
  <c r="I26" i="10"/>
  <c r="I25" i="10"/>
  <c r="I24" i="10"/>
  <c r="I23" i="10"/>
  <c r="I22" i="10"/>
  <c r="I20" i="10"/>
  <c r="I18" i="10"/>
  <c r="I17" i="10"/>
  <c r="I15" i="10"/>
  <c r="I14" i="10"/>
  <c r="I13" i="10"/>
  <c r="I12" i="10"/>
  <c r="I11" i="10"/>
  <c r="I10" i="10"/>
  <c r="L10" i="3"/>
  <c r="L9" i="3"/>
  <c r="H44" i="3"/>
  <c r="H43" i="3"/>
  <c r="H42" i="3"/>
  <c r="H41" i="3"/>
  <c r="H40" i="3"/>
  <c r="H39" i="3"/>
  <c r="H38" i="3"/>
  <c r="H37" i="3"/>
  <c r="H36" i="3"/>
  <c r="H35" i="3"/>
  <c r="H34" i="3"/>
  <c r="E44" i="3"/>
  <c r="E43" i="3"/>
  <c r="E42" i="3"/>
  <c r="E41" i="3"/>
  <c r="E40" i="3"/>
  <c r="E39" i="3"/>
  <c r="E38" i="3"/>
  <c r="E37" i="3"/>
  <c r="E36" i="3"/>
  <c r="E35" i="3"/>
  <c r="H30" i="3"/>
  <c r="H29" i="3"/>
  <c r="H28" i="3"/>
  <c r="H27" i="3"/>
  <c r="H26" i="3"/>
  <c r="H25" i="3"/>
  <c r="H24" i="3"/>
  <c r="H23" i="3"/>
  <c r="H22" i="3"/>
  <c r="H21" i="3"/>
  <c r="H20" i="3"/>
  <c r="H19" i="3"/>
  <c r="H15" i="3"/>
  <c r="H14" i="3"/>
  <c r="H13" i="3"/>
  <c r="H12" i="3"/>
  <c r="E12" i="3"/>
  <c r="G22" i="8" l="1"/>
  <c r="G12" i="8"/>
  <c r="E56" i="3"/>
  <c r="E55" i="3"/>
  <c r="E54" i="3"/>
  <c r="E30" i="3"/>
  <c r="E29" i="3"/>
  <c r="E28" i="3"/>
  <c r="E27" i="3"/>
  <c r="E26" i="3"/>
  <c r="E25" i="3"/>
  <c r="E24" i="3"/>
  <c r="E23" i="3"/>
  <c r="E22" i="3"/>
  <c r="E21" i="3"/>
  <c r="E20" i="3"/>
  <c r="E16" i="3"/>
  <c r="E15" i="3"/>
  <c r="E14" i="3"/>
  <c r="E13" i="3"/>
  <c r="E33" i="3" l="1"/>
  <c r="E19" i="3" l="1"/>
  <c r="E48" i="3"/>
  <c r="E47" i="3" s="1"/>
  <c r="E34" i="3"/>
  <c r="L45" i="3" l="1"/>
  <c r="K13" i="3" l="1"/>
  <c r="K14" i="3"/>
  <c r="K15" i="3"/>
  <c r="K16" i="3"/>
  <c r="K17" i="3"/>
  <c r="K20" i="3"/>
  <c r="K21" i="3"/>
  <c r="K22" i="3"/>
  <c r="K23" i="3"/>
  <c r="K24" i="3"/>
  <c r="K25" i="3"/>
  <c r="K26" i="3"/>
  <c r="K27" i="3"/>
  <c r="K28" i="3"/>
  <c r="K29" i="3"/>
  <c r="K30" i="3"/>
  <c r="K31" i="3"/>
  <c r="K35" i="3"/>
  <c r="K36" i="3"/>
  <c r="K37" i="3"/>
  <c r="K38" i="3"/>
  <c r="K39" i="3"/>
  <c r="K41" i="3"/>
  <c r="K42" i="3"/>
  <c r="K43" i="3"/>
  <c r="K44" i="3"/>
  <c r="K46" i="3"/>
  <c r="J13" i="3"/>
  <c r="J14" i="3"/>
  <c r="J15" i="3"/>
  <c r="J17" i="3"/>
  <c r="J22" i="3"/>
  <c r="J27" i="3"/>
  <c r="G13" i="3"/>
  <c r="G14" i="3"/>
  <c r="G15" i="3"/>
  <c r="G16" i="3"/>
  <c r="G17" i="3"/>
  <c r="G20" i="3"/>
  <c r="G21" i="3"/>
  <c r="G22" i="3"/>
  <c r="G23" i="3"/>
  <c r="G24" i="3"/>
  <c r="G25" i="3"/>
  <c r="G26" i="3"/>
  <c r="G27" i="3"/>
  <c r="G28" i="3"/>
  <c r="G29" i="3"/>
  <c r="G30" i="3"/>
  <c r="G31" i="3"/>
  <c r="G35" i="3"/>
  <c r="G36" i="3"/>
  <c r="G37" i="3"/>
  <c r="G38" i="3"/>
  <c r="G39" i="3"/>
  <c r="G41" i="3"/>
  <c r="G42" i="3"/>
  <c r="G43" i="3"/>
  <c r="G44" i="3"/>
  <c r="G46" i="3"/>
  <c r="G48" i="3"/>
  <c r="G49" i="3"/>
  <c r="G50" i="3"/>
  <c r="G51" i="3"/>
  <c r="F13" i="3"/>
  <c r="F14" i="3"/>
  <c r="F15" i="3"/>
  <c r="F17" i="3"/>
  <c r="F22" i="3"/>
  <c r="F27" i="3"/>
  <c r="F48" i="3"/>
  <c r="D12" i="3"/>
  <c r="D48" i="3"/>
  <c r="I12" i="3" l="1"/>
  <c r="I11" i="3" l="1"/>
  <c r="K12" i="3"/>
  <c r="I19" i="3"/>
  <c r="I34" i="3"/>
  <c r="I53" i="3"/>
  <c r="I52" i="3" s="1"/>
  <c r="E39" i="10"/>
  <c r="I32" i="3" l="1"/>
  <c r="H13" i="10"/>
  <c r="H14" i="10"/>
  <c r="H15" i="10"/>
  <c r="H17" i="10"/>
  <c r="H18" i="10"/>
  <c r="H20" i="10"/>
  <c r="H22" i="10"/>
  <c r="H23" i="10"/>
  <c r="H24" i="10"/>
  <c r="H25" i="10"/>
  <c r="H26" i="10"/>
  <c r="H27" i="10"/>
  <c r="H28" i="10"/>
  <c r="H32" i="10"/>
  <c r="H33" i="10"/>
  <c r="H39" i="10"/>
  <c r="G13" i="10"/>
  <c r="G14" i="10"/>
  <c r="G15" i="10"/>
  <c r="G17" i="10"/>
  <c r="G18" i="10"/>
  <c r="G20" i="10"/>
  <c r="G22" i="10"/>
  <c r="G23" i="10"/>
  <c r="G24" i="10"/>
  <c r="G25" i="10"/>
  <c r="G26" i="10"/>
  <c r="G27" i="10"/>
  <c r="G28" i="10"/>
  <c r="G32" i="10"/>
  <c r="G33" i="10"/>
  <c r="G38" i="10"/>
  <c r="G39" i="10"/>
  <c r="F38" i="10"/>
  <c r="F40" i="10"/>
  <c r="F39" i="10"/>
  <c r="E38" i="10"/>
  <c r="F33" i="10"/>
  <c r="F32" i="10"/>
  <c r="F28" i="10"/>
  <c r="F26" i="10"/>
  <c r="F24" i="10"/>
  <c r="F25" i="10"/>
  <c r="F23" i="10"/>
  <c r="F22" i="10"/>
  <c r="F20" i="10"/>
  <c r="F18" i="10"/>
  <c r="F17" i="10"/>
  <c r="F14" i="10"/>
  <c r="F15" i="10"/>
  <c r="F13" i="10"/>
  <c r="I18" i="3" l="1"/>
  <c r="E33" i="10"/>
  <c r="E32" i="10"/>
  <c r="E28" i="10"/>
  <c r="E26" i="10"/>
  <c r="E25" i="10"/>
  <c r="E24" i="10"/>
  <c r="E23" i="10"/>
  <c r="E22" i="10"/>
  <c r="E20" i="10"/>
  <c r="E18" i="10"/>
  <c r="E17" i="10"/>
  <c r="E15" i="10"/>
  <c r="E14" i="10"/>
  <c r="E13" i="10"/>
  <c r="J18" i="3" l="1"/>
  <c r="I10" i="3"/>
  <c r="F12" i="10"/>
  <c r="F11" i="10" l="1"/>
  <c r="H12" i="10"/>
  <c r="I9" i="3"/>
  <c r="M76" i="10"/>
  <c r="D76" i="10"/>
  <c r="C76" i="10"/>
  <c r="K47" i="10"/>
  <c r="J47" i="10"/>
  <c r="D47" i="10"/>
  <c r="C47" i="10"/>
  <c r="K44" i="10"/>
  <c r="M43" i="10"/>
  <c r="K43" i="10"/>
  <c r="N43" i="10" s="1"/>
  <c r="D43" i="10"/>
  <c r="K41" i="10"/>
  <c r="K40" i="10" s="1"/>
  <c r="D41" i="10"/>
  <c r="D40" i="10" s="1"/>
  <c r="J40" i="10"/>
  <c r="J38" i="10" s="1"/>
  <c r="M38" i="10" s="1"/>
  <c r="C40" i="10"/>
  <c r="M39" i="10"/>
  <c r="K39" i="10"/>
  <c r="D39" i="10"/>
  <c r="C38" i="10"/>
  <c r="M33" i="10"/>
  <c r="K33" i="10"/>
  <c r="K32" i="10" s="1"/>
  <c r="D33" i="10"/>
  <c r="M32" i="10"/>
  <c r="M28" i="10"/>
  <c r="K28" i="10"/>
  <c r="D28" i="10"/>
  <c r="M27" i="10"/>
  <c r="D27" i="10"/>
  <c r="N27" i="10" s="1"/>
  <c r="M26" i="10"/>
  <c r="D26" i="10"/>
  <c r="N26" i="10" s="1"/>
  <c r="M25" i="10"/>
  <c r="K25" i="10"/>
  <c r="K24" i="10" s="1"/>
  <c r="D25" i="10"/>
  <c r="D24" i="10" s="1"/>
  <c r="M24" i="10"/>
  <c r="M23" i="10"/>
  <c r="D23" i="10"/>
  <c r="M22" i="10"/>
  <c r="D22" i="10"/>
  <c r="N22" i="10" s="1"/>
  <c r="M20" i="10"/>
  <c r="D20" i="10"/>
  <c r="N20" i="10" s="1"/>
  <c r="M18" i="10"/>
  <c r="K18" i="10"/>
  <c r="D18" i="10"/>
  <c r="M17" i="10"/>
  <c r="K17" i="10"/>
  <c r="K12" i="10" s="1"/>
  <c r="D17" i="10"/>
  <c r="N17" i="10" s="1"/>
  <c r="M15" i="10"/>
  <c r="D15" i="10"/>
  <c r="N15" i="10" s="1"/>
  <c r="M14" i="10"/>
  <c r="D14" i="10"/>
  <c r="N14" i="10" s="1"/>
  <c r="M13" i="10"/>
  <c r="D13" i="10"/>
  <c r="N13" i="10" s="1"/>
  <c r="L12" i="10"/>
  <c r="L11" i="10" s="1"/>
  <c r="J12" i="10"/>
  <c r="E12" i="10"/>
  <c r="D12" i="10"/>
  <c r="C12" i="10"/>
  <c r="J11" i="10"/>
  <c r="E11" i="10" l="1"/>
  <c r="G12" i="10"/>
  <c r="F10" i="10"/>
  <c r="N39" i="10"/>
  <c r="E9" i="10"/>
  <c r="N24" i="10"/>
  <c r="K38" i="10"/>
  <c r="N38" i="10" s="1"/>
  <c r="N12" i="10"/>
  <c r="N18" i="10"/>
  <c r="D38" i="10"/>
  <c r="H38" i="10" s="1"/>
  <c r="N33" i="10"/>
  <c r="L9" i="10"/>
  <c r="L10" i="10"/>
  <c r="J9" i="10"/>
  <c r="C11" i="10"/>
  <c r="K11" i="10"/>
  <c r="M12" i="10"/>
  <c r="N23" i="10"/>
  <c r="N28" i="10"/>
  <c r="N25" i="10"/>
  <c r="J10" i="10"/>
  <c r="D32" i="10"/>
  <c r="N32" i="10" s="1"/>
  <c r="E10" i="10" l="1"/>
  <c r="G11" i="10"/>
  <c r="D11" i="10"/>
  <c r="C9" i="10"/>
  <c r="M9" i="10" s="1"/>
  <c r="C10" i="10"/>
  <c r="M10" i="10" s="1"/>
  <c r="M11" i="10"/>
  <c r="D9" i="10"/>
  <c r="K10" i="10"/>
  <c r="K9" i="10"/>
  <c r="G10" i="10" l="1"/>
  <c r="H10" i="10"/>
  <c r="H11" i="10"/>
  <c r="N9" i="10"/>
  <c r="N11" i="10"/>
  <c r="N10" i="10"/>
  <c r="N53" i="3" l="1"/>
  <c r="N52" i="3" s="1"/>
  <c r="N34" i="3"/>
  <c r="N32" i="3" s="1"/>
  <c r="N31" i="3"/>
  <c r="N19" i="3"/>
  <c r="N12" i="3"/>
  <c r="N11" i="3" s="1"/>
  <c r="N18" i="3" l="1"/>
  <c r="N10" i="3" s="1"/>
  <c r="N9" i="3" s="1"/>
  <c r="D11" i="3"/>
  <c r="C12" i="3"/>
  <c r="J12" i="3" s="1"/>
  <c r="E53" i="3"/>
  <c r="E52" i="3" s="1"/>
  <c r="D52" i="3"/>
  <c r="E32" i="3"/>
  <c r="H32" i="3" s="1"/>
  <c r="D34" i="3"/>
  <c r="D19" i="3"/>
  <c r="K19" i="3" s="1"/>
  <c r="C11" i="3"/>
  <c r="G19" i="3" l="1"/>
  <c r="D32" i="3"/>
  <c r="K32" i="3" s="1"/>
  <c r="G34" i="3"/>
  <c r="K34" i="3"/>
  <c r="C10" i="3"/>
  <c r="J11" i="3"/>
  <c r="K11" i="3"/>
  <c r="E18" i="3"/>
  <c r="H18" i="3" s="1"/>
  <c r="D18" i="3" l="1"/>
  <c r="G32" i="3"/>
  <c r="C9" i="3"/>
  <c r="J9" i="3" s="1"/>
  <c r="J10" i="3"/>
  <c r="G12" i="3"/>
  <c r="E11" i="3"/>
  <c r="G18" i="3"/>
  <c r="F18" i="3"/>
  <c r="F12" i="3"/>
  <c r="E10" i="3" l="1"/>
  <c r="H11" i="3"/>
  <c r="K18" i="3"/>
  <c r="D10" i="3"/>
  <c r="F11" i="3"/>
  <c r="G11" i="3"/>
  <c r="C14" i="8"/>
  <c r="E32" i="8"/>
  <c r="E31" i="8"/>
  <c r="E27" i="8"/>
  <c r="E26" i="8"/>
  <c r="E25" i="8"/>
  <c r="E18" i="8"/>
  <c r="E15" i="8"/>
  <c r="E9" i="3" l="1"/>
  <c r="H9" i="3" s="1"/>
  <c r="H10" i="3"/>
  <c r="D9" i="3"/>
  <c r="K9" i="3" s="1"/>
  <c r="K10" i="3"/>
  <c r="G10" i="3"/>
  <c r="F10" i="3"/>
  <c r="C23" i="8"/>
  <c r="F9" i="3" l="1"/>
  <c r="G9" i="3"/>
  <c r="C30" i="8" l="1"/>
  <c r="C33" i="8" l="1"/>
  <c r="D30" i="8" l="1"/>
  <c r="D23" i="8"/>
  <c r="D13" i="8"/>
  <c r="D14" i="8" s="1"/>
  <c r="E14" i="8" s="1"/>
  <c r="C13" i="8"/>
  <c r="D22" i="8" l="1"/>
  <c r="D21" i="8" s="1"/>
  <c r="E30" i="8"/>
  <c r="E13" i="8"/>
  <c r="C12" i="8"/>
  <c r="D12" i="8"/>
  <c r="E12" i="8" l="1"/>
  <c r="E22" i="8"/>
  <c r="C21" i="8" l="1"/>
  <c r="E21" i="8" s="1"/>
</calcChain>
</file>

<file path=xl/comments1.xml><?xml version="1.0" encoding="utf-8"?>
<comments xmlns="http://schemas.openxmlformats.org/spreadsheetml/2006/main">
  <authors>
    <author>PhongVuBienHoa</author>
  </authors>
  <commentList>
    <comment ref="D20" authorId="0">
      <text>
        <r>
          <rPr>
            <b/>
            <sz val="8"/>
            <color indexed="81"/>
            <rFont val="Tahoma"/>
            <family val="2"/>
          </rPr>
          <t>PhongVuBienHoa:</t>
        </r>
        <r>
          <rPr>
            <sz val="8"/>
            <color indexed="81"/>
            <rFont val="Tahoma"/>
            <family val="2"/>
          </rPr>
          <t xml:space="preserve">
của xã tp ko hưởng 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3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SỐ CHI chuyển nguồn xdcb</t>
        </r>
      </text>
    </comment>
  </commentList>
</comments>
</file>

<file path=xl/sharedStrings.xml><?xml version="1.0" encoding="utf-8"?>
<sst xmlns="http://schemas.openxmlformats.org/spreadsheetml/2006/main" count="240" uniqueCount="180">
  <si>
    <t>STT</t>
  </si>
  <si>
    <t>A</t>
  </si>
  <si>
    <t>B</t>
  </si>
  <si>
    <t>Nội dung</t>
  </si>
  <si>
    <t>3=2/1</t>
  </si>
  <si>
    <t>I</t>
  </si>
  <si>
    <t>Chi đầu tư phát triển</t>
  </si>
  <si>
    <t>Dự phòng ngân sách</t>
  </si>
  <si>
    <t>II</t>
  </si>
  <si>
    <t>III</t>
  </si>
  <si>
    <t>C</t>
  </si>
  <si>
    <t>IV</t>
  </si>
  <si>
    <t>CỘNG HÒA XÃ HỘI CHỦ NGHĨA VIỆT NAM</t>
  </si>
  <si>
    <t>Độc Lập - Tự do- Hạnh Phúc</t>
  </si>
  <si>
    <t>CÂN ĐỐI NGÂN SÁCH THÀNH PHỐ BIÊN HÒA</t>
  </si>
  <si>
    <t>a</t>
  </si>
  <si>
    <t>b</t>
  </si>
  <si>
    <t>Tỉnh thu thành phố hưởng</t>
  </si>
  <si>
    <t>Chi cân đối ngân sách thành phố</t>
  </si>
  <si>
    <t xml:space="preserve">Chi thường xuyên </t>
  </si>
  <si>
    <t>trong đó: cấp thành phố</t>
  </si>
  <si>
    <t>Thu khác ngân sách</t>
  </si>
  <si>
    <t>Thu bổ sung từ ngân sách cấp trên</t>
  </si>
  <si>
    <t>D</t>
  </si>
  <si>
    <t>Chi quốc phòng</t>
  </si>
  <si>
    <t>Chi thường xuyên</t>
  </si>
  <si>
    <t>Khối phường xã</t>
  </si>
  <si>
    <t>Thu kết dư năm trước chuyển sang</t>
  </si>
  <si>
    <t>UBND THÀNH PHỐ BIÊN HÒA</t>
  </si>
  <si>
    <t>PHÒNG TÀI CHÍNH KẾ HOẠCH</t>
  </si>
  <si>
    <t>Chi XDCB nguồn vốn tập trung</t>
  </si>
  <si>
    <t>Chi XDCB nguồn thu tiền sử dụng đất</t>
  </si>
  <si>
    <t>Chi XDCB nguồn xổ sổ kiến thiết</t>
  </si>
  <si>
    <t>Chi tạo nguồn cải cách tiền lương</t>
  </si>
  <si>
    <t xml:space="preserve">Thu cân đối ngân sách thành phố </t>
  </si>
  <si>
    <t>Thu Nội đia</t>
  </si>
  <si>
    <t>Chi đầu tư XDCB</t>
  </si>
  <si>
    <t>Thu quản lý qua ngân sách</t>
  </si>
  <si>
    <t>Thu chuyển nguồn từ năm trước chuyển sang</t>
  </si>
  <si>
    <t>TỔNG CHI NGÂN SÁCH HUYỆN (I+II+III)</t>
  </si>
  <si>
    <t>Tạm chi chưa đưa vào cân đối NS</t>
  </si>
  <si>
    <t>TỔNG NGUỒN THU NSNN TRÊN ĐỊA BÀN ( I+II)</t>
  </si>
  <si>
    <t>-</t>
  </si>
  <si>
    <t>Chi đầu tư phát triển NS thành phố</t>
  </si>
  <si>
    <t>Chi XDCB NS phường xã</t>
  </si>
  <si>
    <t>V</t>
  </si>
  <si>
    <t>Chi khác XDCB ( chuyển vốn ủy thác)</t>
  </si>
  <si>
    <t>Trong đó: nếu loại trừ tiền sử dụng đất</t>
  </si>
  <si>
    <t xml:space="preserve">Chi nộp ngân sách cấp trên </t>
  </si>
  <si>
    <t>Chi chuyển giao ngân sách ( bs ngân sách cấp dưới)</t>
  </si>
  <si>
    <t>Độc Lập - Tự do - Hạnh phúc</t>
  </si>
  <si>
    <t>Thu trên địa bàn</t>
  </si>
  <si>
    <t>Thu điều tiết</t>
  </si>
  <si>
    <t>Thu từ khu vực kinh tế ngoài quốc doanh</t>
  </si>
  <si>
    <t>Trong đó: Thu từ cơ sở kinh doanh nhập khẩu tiếp tục bán ra trong nước</t>
  </si>
  <si>
    <t>- Thuế tài nguyên</t>
  </si>
  <si>
    <t>Thuế sử dụng đất nông nghiệp</t>
  </si>
  <si>
    <t>Thuế CQSDĐ</t>
  </si>
  <si>
    <t>Phí, lệ phí</t>
  </si>
  <si>
    <t>- Phí, lệ phí do cơ quan nhà nước địa phương thu</t>
  </si>
  <si>
    <t>Thu tiền thuê đất, mặt nước</t>
  </si>
  <si>
    <t>Thu từ bán tài sản nhà nước</t>
  </si>
  <si>
    <t xml:space="preserve">                - Do địa phương quản lý</t>
  </si>
  <si>
    <t>Thu tiền cho thuê và bán nhà ở thuộc sở hữu nhà nước</t>
  </si>
  <si>
    <t>Trong cân đối</t>
  </si>
  <si>
    <t>Thu từ quỹ đất công ích và thu hoa lợi công sản khác</t>
  </si>
  <si>
    <t>Thu các quyền khai thác khoáng sản</t>
  </si>
  <si>
    <t>Thu từ hoạt động xổ số kiến thiết (kể cả hoạt động xổ số điện toán)</t>
  </si>
  <si>
    <t>THU TỪ DẦU THÔ</t>
  </si>
  <si>
    <t>Thu bổ sung từ ngân sách tỉnh</t>
  </si>
  <si>
    <t>- Thu bổ sung cân đối</t>
  </si>
  <si>
    <t xml:space="preserve">      + Bổ sung đợt I</t>
  </si>
  <si>
    <t xml:space="preserve">      + Bổ sung đợt II</t>
  </si>
  <si>
    <t>Thu từ nguồn thu tại đơn vị</t>
  </si>
  <si>
    <t>Điều tiết</t>
  </si>
  <si>
    <t>Tổng thu trong cân đối được sử dụng (trừ TSSĐ)</t>
  </si>
  <si>
    <t xml:space="preserve"> - Số thu thành phố hưởng </t>
  </si>
  <si>
    <t>KHOẢN CHI</t>
  </si>
  <si>
    <t xml:space="preserve"> % (Thực hiện/dự toán tỉnh giao)</t>
  </si>
  <si>
    <t>TỔNG CHI NGÂN SÁCH ĐỊA PHƯƠNG ( A+B+C+D)</t>
  </si>
  <si>
    <t xml:space="preserve"> CHI CÂN ĐỐI NS ĐỊA PHƯƠNG ( I+II+III)</t>
  </si>
  <si>
    <t>Chi đầu tư phát triển thành phố</t>
  </si>
  <si>
    <t>Chi đầu tư NS thành phố</t>
  </si>
  <si>
    <t>chi đầu tư XDCB tập trung</t>
  </si>
  <si>
    <t>Chi đầu tư XDCB từ nguồn sử dụng đất</t>
  </si>
  <si>
    <t>Chi đầu tư XDCB từ nguồn xổ số kiến thiết</t>
  </si>
  <si>
    <t xml:space="preserve">Chi thường xuyên theo lĩnh vực </t>
  </si>
  <si>
    <t>II.1</t>
  </si>
  <si>
    <t>Ngân sách thành phố</t>
  </si>
  <si>
    <t>Chi an ninh</t>
  </si>
  <si>
    <t xml:space="preserve">Chi sự nghiệp GDĐT và Dạy nghề </t>
  </si>
  <si>
    <t xml:space="preserve">Chi sự nghiệp y tế </t>
  </si>
  <si>
    <t xml:space="preserve">Chi SN văn hóa thông tin </t>
  </si>
  <si>
    <t xml:space="preserve">Chi SN truyền thanh </t>
  </si>
  <si>
    <t xml:space="preserve">Chi SN thể dục -TT </t>
  </si>
  <si>
    <t xml:space="preserve">Chi SN môi trường  </t>
  </si>
  <si>
    <t xml:space="preserve">Chi SN kinh tế </t>
  </si>
  <si>
    <t xml:space="preserve">Chi bảo đảm XH </t>
  </si>
  <si>
    <t xml:space="preserve">Chi lĩnh vực khác </t>
  </si>
  <si>
    <t>II.2</t>
  </si>
  <si>
    <t xml:space="preserve">Ngân sách phường, xã </t>
  </si>
  <si>
    <t>2.1</t>
  </si>
  <si>
    <t>2.2</t>
  </si>
  <si>
    <t>2.3</t>
  </si>
  <si>
    <t>2.4</t>
  </si>
  <si>
    <t>2.5</t>
  </si>
  <si>
    <t>2.6</t>
  </si>
  <si>
    <t>2.7</t>
  </si>
  <si>
    <t>2.8</t>
  </si>
  <si>
    <t>Chi QL nhà nước, các hội đoàn thể</t>
  </si>
  <si>
    <t>2.9</t>
  </si>
  <si>
    <t>2.10</t>
  </si>
  <si>
    <t>Nhiệm vụ Chi khác XDCB ( chuyển vốn ủy thác)</t>
  </si>
  <si>
    <t xml:space="preserve">CHI CHUYỂN GIAO NGÂN SÁCH </t>
  </si>
  <si>
    <t xml:space="preserve">Chi bổ sung ngân sách cấp xã </t>
  </si>
  <si>
    <t>bổ sung cân đối</t>
  </si>
  <si>
    <t>bổ sung mục tiêu</t>
  </si>
  <si>
    <t>Dự phòng</t>
  </si>
  <si>
    <t>Ngân sách phường xã</t>
  </si>
  <si>
    <t>E</t>
  </si>
  <si>
    <t>CHI CHUYỂN NGUỒN</t>
  </si>
  <si>
    <t>Dự toán năm 2023</t>
  </si>
  <si>
    <t>So sánh ước thực hiện với (%)</t>
  </si>
  <si>
    <t xml:space="preserve">Dự toán năm </t>
  </si>
  <si>
    <t>Cùng kỳ năm trước</t>
  </si>
  <si>
    <t>ĐVT: đồng</t>
  </si>
  <si>
    <t>So sánh</t>
  </si>
  <si>
    <t>% ước thực hiệnthu địa bàn / DT 2023</t>
  </si>
  <si>
    <t>% ước thực hiện thu điều tiết năm / DT 2023</t>
  </si>
  <si>
    <t xml:space="preserve">TỔNG THU NSNN TRÊN ĐỊA BÀN (I+II+III+IV+V+VI) </t>
  </si>
  <si>
    <t>THU NGÂN SÁCH ĐỊA PHƯƠNG (I+II+III)</t>
  </si>
  <si>
    <t>THU NỘI ĐỊA</t>
  </si>
  <si>
    <t>' Thuế GTGT ( 50%)</t>
  </si>
  <si>
    <t>- Thuế thu nhập doanh nghiệp (50%)</t>
  </si>
  <si>
    <t>- Thuế tiêu thụ đặc biệt ( 50%)</t>
  </si>
  <si>
    <t>Lệ phí trước bạ (100%)</t>
  </si>
  <si>
    <t>Thuế sử dụng đất phi nông nghiệp (100%)</t>
  </si>
  <si>
    <t>Thuế thu nhập cá nhân (50%)</t>
  </si>
  <si>
    <t>Thuế bảo vệ môi trường (50%)</t>
  </si>
  <si>
    <t>Tiền sử dụng đất (60%)</t>
  </si>
  <si>
    <t>- Thu do cơ quan, tổ chức, đơn vị thuộc địa phương quản lý</t>
  </si>
  <si>
    <t>- Thu bổ sung mục tiêu</t>
  </si>
  <si>
    <t>- Thu bổ sung mục tiêu từ nguồn xổ sổ kiến thiết</t>
  </si>
  <si>
    <t>Thu chuyển nguồn</t>
  </si>
  <si>
    <t>Thu nộp ngân sách cấp trên</t>
  </si>
  <si>
    <t>VI</t>
  </si>
  <si>
    <t>Thu kết dư</t>
  </si>
  <si>
    <t>VII</t>
  </si>
  <si>
    <t>Thu từ các đơn vị sự nghiệp tại địa phương (60%)</t>
  </si>
  <si>
    <t>Ghi chú: (1) Bao gồm các khoản thu NSĐP hưởng 100%, các khoản thu phân chia giữa NSTW và NSĐP.</t>
  </si>
  <si>
    <t>Dự toán tỉnh giao</t>
  </si>
  <si>
    <t>Dự toán HĐND giao</t>
  </si>
  <si>
    <t xml:space="preserve"> % (Thực hiện/dự toán hđnd  giao)</t>
  </si>
  <si>
    <t>Chi QL nhà nước</t>
  </si>
  <si>
    <t>Nhiệm vụ chi khác ( ghi chi tiền sử dụng đất)</t>
  </si>
  <si>
    <t>CHI ĐẦU TƯ PHÁT TRIỂN (chi chuyển nguồn)</t>
  </si>
  <si>
    <t>so cùng kỳ</t>
  </si>
  <si>
    <t>Chi đầu tư NS phường xã</t>
  </si>
  <si>
    <t>Quý 1 năm 2022</t>
  </si>
  <si>
    <t>BÁO CÁO TÌNH HÌNH THỰC HIỆN CHI NGÂN SÁCH QUÝ II NĂM 2023</t>
  </si>
  <si>
    <t>5=3/1</t>
  </si>
  <si>
    <t>6=4/2</t>
  </si>
  <si>
    <t>6 tháng năm 2022</t>
  </si>
  <si>
    <t>Thu trên địa bàn 6 tháng năm 2023</t>
  </si>
  <si>
    <t>Thu điều tiết 6 tháng năm 2023</t>
  </si>
  <si>
    <t xml:space="preserve"> TÌNH HÌNH THỰC HIỆN THU NGÂN SÁCH QUÝ II NĂM 2023</t>
  </si>
  <si>
    <t>Thu NSNN năm 2023</t>
  </si>
  <si>
    <t>Thu điều tiết quý 2/2023</t>
  </si>
  <si>
    <t>Thu Quý II/2023</t>
  </si>
  <si>
    <t>9=7/1</t>
  </si>
  <si>
    <t>10=8/2</t>
  </si>
  <si>
    <t>Thực hiện chi quý 2/2023</t>
  </si>
  <si>
    <t>thực hiện chi 06 tháng năm 2023</t>
  </si>
  <si>
    <t>Chi đầu tư XDCB từ nguồn thưởng vượt thu 2021</t>
  </si>
  <si>
    <t>TẠM CHI CHƯA ĐƯA VÀO CÂN ĐỐI NS</t>
  </si>
  <si>
    <t>% so cùng kỳ</t>
  </si>
  <si>
    <t>QUÝ II NĂM 2023</t>
  </si>
  <si>
    <t>Thực hiện quý II/2023</t>
  </si>
  <si>
    <t>Thực hiện 06 tháng năm 2023</t>
  </si>
  <si>
    <t>Chi XDCB nguồn thưởng vượt thu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</si>
</sst>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8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"/>
    </font>
    <font>
      <sz val="11"/>
      <color theme="1"/>
      <name val="Times New Roman"/>
      <family val="1"/>
    </font>
    <font>
      <sz val="11"/>
      <color theme="1"/>
      <name val="T"/>
    </font>
    <font>
      <sz val="10"/>
      <name val="Arial"/>
      <family val="2"/>
      <charset val="163"/>
    </font>
    <font>
      <b/>
      <sz val="11"/>
      <name val="Times New Roman"/>
      <family val="1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name val="Cambria"/>
      <family val="1"/>
      <charset val="163"/>
      <scheme val="maj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0"/>
      <name val="Calibri"/>
      <family val="2"/>
      <scheme val="minor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2"/>
    </font>
    <font>
      <sz val="12"/>
      <name val="Cambria"/>
      <family val="1"/>
      <scheme val="major"/>
    </font>
    <font>
      <b/>
      <sz val="12"/>
      <color rgb="FFFF0000"/>
      <name val="Times New Roman"/>
      <family val="1"/>
    </font>
    <font>
      <b/>
      <sz val="11"/>
      <name val="Cambria"/>
      <family val="1"/>
      <charset val="163"/>
      <scheme val="major"/>
    </font>
    <font>
      <b/>
      <sz val="11"/>
      <name val="Cambria"/>
      <family val="1"/>
      <scheme val="major"/>
    </font>
    <font>
      <b/>
      <u val="singleAccounting"/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</cellStyleXfs>
  <cellXfs count="254">
    <xf numFmtId="0" fontId="0" fillId="0" borderId="0" xfId="0"/>
    <xf numFmtId="164" fontId="0" fillId="0" borderId="0" xfId="1" applyNumberFormat="1" applyFont="1"/>
    <xf numFmtId="0" fontId="6" fillId="0" borderId="0" xfId="0" applyFont="1"/>
    <xf numFmtId="164" fontId="6" fillId="0" borderId="0" xfId="1" applyNumberFormat="1" applyFont="1"/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9" fontId="6" fillId="0" borderId="1" xfId="2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0" fontId="6" fillId="0" borderId="0" xfId="0" applyFont="1" applyAlignment="1">
      <alignment vertical="center"/>
    </xf>
    <xf numFmtId="9" fontId="7" fillId="0" borderId="0" xfId="2" applyFont="1" applyBorder="1" applyAlignment="1">
      <alignment horizontal="center" vertical="center" wrapText="1"/>
    </xf>
    <xf numFmtId="164" fontId="7" fillId="0" borderId="0" xfId="1" applyNumberFormat="1" applyFont="1"/>
    <xf numFmtId="164" fontId="7" fillId="0" borderId="0" xfId="0" applyNumberFormat="1" applyFont="1"/>
    <xf numFmtId="164" fontId="12" fillId="0" borderId="0" xfId="1" applyNumberFormat="1" applyFont="1" applyAlignment="1">
      <alignment horizontal="center"/>
    </xf>
    <xf numFmtId="164" fontId="14" fillId="0" borderId="0" xfId="1" applyNumberFormat="1" applyFont="1" applyAlignment="1">
      <alignment horizontal="center"/>
    </xf>
    <xf numFmtId="3" fontId="0" fillId="0" borderId="0" xfId="0" applyNumberFormat="1"/>
    <xf numFmtId="0" fontId="0" fillId="0" borderId="0" xfId="0" applyFont="1"/>
    <xf numFmtId="0" fontId="17" fillId="0" borderId="7" xfId="0" applyFont="1" applyFill="1" applyBorder="1" applyAlignment="1">
      <alignment vertical="top"/>
    </xf>
    <xf numFmtId="0" fontId="18" fillId="0" borderId="7" xfId="3" applyFont="1" applyFill="1" applyBorder="1" applyAlignment="1">
      <alignment horizontal="left" vertical="top" wrapText="1"/>
    </xf>
    <xf numFmtId="3" fontId="11" fillId="2" borderId="7" xfId="0" applyNumberFormat="1" applyFont="1" applyFill="1" applyBorder="1" applyAlignment="1">
      <alignment vertical="distributed"/>
    </xf>
    <xf numFmtId="9" fontId="16" fillId="0" borderId="1" xfId="2" applyFont="1" applyFill="1" applyBorder="1" applyAlignment="1">
      <alignment vertical="distributed"/>
    </xf>
    <xf numFmtId="3" fontId="0" fillId="0" borderId="0" xfId="0" applyNumberFormat="1" applyFont="1"/>
    <xf numFmtId="0" fontId="17" fillId="2" borderId="1" xfId="0" applyFont="1" applyFill="1" applyBorder="1" applyAlignment="1">
      <alignment vertical="top"/>
    </xf>
    <xf numFmtId="0" fontId="18" fillId="2" borderId="1" xfId="3" applyFont="1" applyFill="1" applyBorder="1" applyAlignment="1">
      <alignment horizontal="left" vertical="top" wrapText="1"/>
    </xf>
    <xf numFmtId="3" fontId="16" fillId="2" borderId="1" xfId="0" applyNumberFormat="1" applyFont="1" applyFill="1" applyBorder="1" applyAlignment="1">
      <alignment vertical="distributed"/>
    </xf>
    <xf numFmtId="0" fontId="0" fillId="2" borderId="0" xfId="0" applyFont="1" applyFill="1"/>
    <xf numFmtId="3" fontId="16" fillId="2" borderId="3" xfId="0" applyNumberFormat="1" applyFont="1" applyFill="1" applyBorder="1" applyAlignment="1">
      <alignment vertical="distributed"/>
    </xf>
    <xf numFmtId="3" fontId="21" fillId="2" borderId="3" xfId="0" applyNumberFormat="1" applyFont="1" applyFill="1" applyBorder="1" applyAlignment="1">
      <alignment horizontal="right" vertical="distributed"/>
    </xf>
    <xf numFmtId="3" fontId="16" fillId="2" borderId="3" xfId="0" applyNumberFormat="1" applyFont="1" applyFill="1" applyBorder="1" applyAlignment="1">
      <alignment horizontal="right" vertical="distributed"/>
    </xf>
    <xf numFmtId="0" fontId="17" fillId="0" borderId="1" xfId="0" applyFont="1" applyFill="1" applyBorder="1" applyAlignment="1">
      <alignment vertical="top"/>
    </xf>
    <xf numFmtId="164" fontId="17" fillId="0" borderId="1" xfId="1" applyNumberFormat="1" applyFont="1" applyFill="1" applyBorder="1" applyAlignment="1">
      <alignment vertical="top"/>
    </xf>
    <xf numFmtId="3" fontId="16" fillId="0" borderId="1" xfId="0" applyNumberFormat="1" applyFont="1" applyFill="1" applyBorder="1" applyAlignment="1">
      <alignment vertical="distributed"/>
    </xf>
    <xf numFmtId="3" fontId="21" fillId="2" borderId="1" xfId="0" applyNumberFormat="1" applyFont="1" applyFill="1" applyBorder="1" applyAlignment="1">
      <alignment vertical="distributed"/>
    </xf>
    <xf numFmtId="3" fontId="21" fillId="2" borderId="9" xfId="0" applyNumberFormat="1" applyFont="1" applyFill="1" applyBorder="1" applyAlignment="1">
      <alignment horizontal="right" vertical="distributed"/>
    </xf>
    <xf numFmtId="3" fontId="21" fillId="2" borderId="6" xfId="0" applyNumberFormat="1" applyFont="1" applyFill="1" applyBorder="1" applyAlignment="1">
      <alignment horizontal="right" vertical="distributed"/>
    </xf>
    <xf numFmtId="3" fontId="21" fillId="2" borderId="4" xfId="0" applyNumberFormat="1" applyFont="1" applyFill="1" applyBorder="1" applyAlignment="1">
      <alignment horizontal="right" vertical="distributed"/>
    </xf>
    <xf numFmtId="3" fontId="21" fillId="2" borderId="4" xfId="0" applyNumberFormat="1" applyFont="1" applyFill="1" applyBorder="1" applyAlignment="1">
      <alignment vertical="distributed"/>
    </xf>
    <xf numFmtId="0" fontId="18" fillId="0" borderId="1" xfId="0" applyFont="1" applyFill="1" applyBorder="1" applyAlignment="1">
      <alignment vertical="top"/>
    </xf>
    <xf numFmtId="3" fontId="22" fillId="2" borderId="1" xfId="0" applyNumberFormat="1" applyFont="1" applyFill="1" applyBorder="1" applyAlignment="1">
      <alignment vertical="distributed"/>
    </xf>
    <xf numFmtId="0" fontId="19" fillId="0" borderId="1" xfId="0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horizontal="right" vertical="distributed"/>
    </xf>
    <xf numFmtId="3" fontId="16" fillId="0" borderId="1" xfId="0" applyNumberFormat="1" applyFont="1" applyFill="1" applyBorder="1" applyAlignment="1">
      <alignment horizontal="right" vertical="distributed"/>
    </xf>
    <xf numFmtId="0" fontId="18" fillId="0" borderId="1" xfId="0" applyFont="1" applyFill="1" applyBorder="1" applyAlignment="1">
      <alignment horizontal="center" vertical="top"/>
    </xf>
    <xf numFmtId="3" fontId="21" fillId="2" borderId="9" xfId="0" applyNumberFormat="1" applyFont="1" applyFill="1" applyBorder="1" applyAlignment="1">
      <alignment vertical="distributed"/>
    </xf>
    <xf numFmtId="0" fontId="23" fillId="0" borderId="4" xfId="0" applyFont="1" applyFill="1" applyBorder="1" applyAlignment="1">
      <alignment vertical="top"/>
    </xf>
    <xf numFmtId="3" fontId="21" fillId="2" borderId="6" xfId="0" applyNumberFormat="1" applyFont="1" applyFill="1" applyBorder="1" applyAlignment="1">
      <alignment vertical="distributed"/>
    </xf>
    <xf numFmtId="3" fontId="16" fillId="2" borderId="1" xfId="0" applyNumberFormat="1" applyFont="1" applyFill="1" applyBorder="1" applyAlignment="1">
      <alignment horizontal="right" vertical="distributed"/>
    </xf>
    <xf numFmtId="0" fontId="18" fillId="2" borderId="1" xfId="0" applyFont="1" applyFill="1" applyBorder="1" applyAlignment="1">
      <alignment vertical="top"/>
    </xf>
    <xf numFmtId="164" fontId="20" fillId="2" borderId="13" xfId="1" applyNumberFormat="1" applyFont="1" applyFill="1" applyBorder="1" applyAlignment="1">
      <alignment vertical="top"/>
    </xf>
    <xf numFmtId="3" fontId="21" fillId="0" borderId="13" xfId="0" applyNumberFormat="1" applyFont="1" applyFill="1" applyBorder="1" applyAlignment="1">
      <alignment vertical="distributed"/>
    </xf>
    <xf numFmtId="3" fontId="16" fillId="0" borderId="13" xfId="0" applyNumberFormat="1" applyFont="1" applyFill="1" applyBorder="1" applyAlignment="1">
      <alignment vertical="distributed"/>
    </xf>
    <xf numFmtId="164" fontId="20" fillId="0" borderId="13" xfId="1" applyNumberFormat="1" applyFont="1" applyFill="1" applyBorder="1" applyAlignment="1">
      <alignment vertical="top"/>
    </xf>
    <xf numFmtId="0" fontId="24" fillId="0" borderId="0" xfId="0" applyFont="1"/>
    <xf numFmtId="0" fontId="25" fillId="0" borderId="0" xfId="0" quotePrefix="1" applyFont="1"/>
    <xf numFmtId="164" fontId="3" fillId="0" borderId="0" xfId="1" applyNumberFormat="1" applyFont="1"/>
    <xf numFmtId="3" fontId="21" fillId="0" borderId="4" xfId="0" applyNumberFormat="1" applyFont="1" applyFill="1" applyBorder="1" applyAlignment="1">
      <alignment vertical="distributed"/>
    </xf>
    <xf numFmtId="0" fontId="3" fillId="0" borderId="0" xfId="0" applyFont="1" applyAlignment="1"/>
    <xf numFmtId="164" fontId="7" fillId="0" borderId="0" xfId="1" applyNumberFormat="1" applyFont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distributed"/>
    </xf>
    <xf numFmtId="164" fontId="2" fillId="0" borderId="0" xfId="1" applyNumberFormat="1" applyFont="1"/>
    <xf numFmtId="164" fontId="10" fillId="0" borderId="0" xfId="1" applyNumberFormat="1" applyFont="1" applyBorder="1" applyAlignment="1">
      <alignment horizontal="center" vertical="center"/>
    </xf>
    <xf numFmtId="0" fontId="7" fillId="0" borderId="0" xfId="0" applyFont="1"/>
    <xf numFmtId="3" fontId="27" fillId="2" borderId="0" xfId="0" applyNumberFormat="1" applyFont="1" applyFill="1"/>
    <xf numFmtId="3" fontId="11" fillId="0" borderId="7" xfId="0" applyNumberFormat="1" applyFont="1" applyFill="1" applyBorder="1" applyAlignment="1">
      <alignment vertical="distributed"/>
    </xf>
    <xf numFmtId="3" fontId="11" fillId="2" borderId="1" xfId="0" applyNumberFormat="1" applyFont="1" applyFill="1" applyBorder="1" applyAlignment="1">
      <alignment vertical="distributed"/>
    </xf>
    <xf numFmtId="164" fontId="0" fillId="0" borderId="0" xfId="0" applyNumberFormat="1" applyFont="1"/>
    <xf numFmtId="9" fontId="16" fillId="0" borderId="6" xfId="2" applyFont="1" applyFill="1" applyBorder="1" applyAlignment="1">
      <alignment vertical="distributed"/>
    </xf>
    <xf numFmtId="164" fontId="19" fillId="0" borderId="4" xfId="1" applyNumberFormat="1" applyFont="1" applyFill="1" applyBorder="1" applyAlignment="1">
      <alignment vertical="top"/>
    </xf>
    <xf numFmtId="9" fontId="16" fillId="0" borderId="4" xfId="2" applyFont="1" applyFill="1" applyBorder="1" applyAlignment="1">
      <alignment vertical="distributed"/>
    </xf>
    <xf numFmtId="3" fontId="26" fillId="2" borderId="1" xfId="0" applyNumberFormat="1" applyFont="1" applyFill="1" applyBorder="1" applyAlignment="1">
      <alignment vertical="distributed"/>
    </xf>
    <xf numFmtId="3" fontId="11" fillId="0" borderId="1" xfId="0" applyNumberFormat="1" applyFont="1" applyFill="1" applyBorder="1" applyAlignment="1">
      <alignment vertical="distributed"/>
    </xf>
    <xf numFmtId="0" fontId="0" fillId="0" borderId="13" xfId="0" applyFont="1" applyBorder="1"/>
    <xf numFmtId="164" fontId="0" fillId="0" borderId="12" xfId="1" applyNumberFormat="1" applyFont="1" applyBorder="1"/>
    <xf numFmtId="164" fontId="31" fillId="0" borderId="0" xfId="1" applyNumberFormat="1" applyFont="1"/>
    <xf numFmtId="164" fontId="32" fillId="0" borderId="3" xfId="1" applyNumberFormat="1" applyFont="1" applyFill="1" applyBorder="1" applyAlignment="1">
      <alignment vertical="top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7" fillId="3" borderId="14" xfId="1" applyNumberFormat="1" applyFont="1" applyFill="1" applyBorder="1" applyAlignment="1">
      <alignment horizontal="center" vertical="center" wrapText="1"/>
    </xf>
    <xf numFmtId="164" fontId="33" fillId="2" borderId="1" xfId="1" applyNumberFormat="1" applyFont="1" applyFill="1" applyBorder="1" applyAlignment="1">
      <alignment horizontal="center" vertical="center" wrapText="1"/>
    </xf>
    <xf numFmtId="164" fontId="33" fillId="0" borderId="1" xfId="1" applyNumberFormat="1" applyFont="1" applyBorder="1" applyAlignment="1">
      <alignment horizontal="center" vertical="center" wrapText="1"/>
    </xf>
    <xf numFmtId="9" fontId="7" fillId="2" borderId="1" xfId="2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164" fontId="7" fillId="0" borderId="1" xfId="1" applyNumberFormat="1" applyFont="1" applyBorder="1" applyAlignment="1">
      <alignment vertical="center" wrapText="1"/>
    </xf>
    <xf numFmtId="3" fontId="28" fillId="2" borderId="4" xfId="0" applyNumberFormat="1" applyFont="1" applyFill="1" applyBorder="1" applyAlignment="1">
      <alignment vertical="distributed"/>
    </xf>
    <xf numFmtId="164" fontId="20" fillId="2" borderId="7" xfId="1" applyNumberFormat="1" applyFont="1" applyFill="1" applyBorder="1" applyAlignment="1">
      <alignment vertical="top"/>
    </xf>
    <xf numFmtId="9" fontId="11" fillId="0" borderId="7" xfId="2" applyFont="1" applyFill="1" applyBorder="1" applyAlignment="1">
      <alignment vertical="distributed"/>
    </xf>
    <xf numFmtId="9" fontId="11" fillId="0" borderId="9" xfId="2" applyFont="1" applyFill="1" applyBorder="1" applyAlignment="1">
      <alignment vertical="distributed"/>
    </xf>
    <xf numFmtId="9" fontId="11" fillId="0" borderId="4" xfId="2" applyFont="1" applyFill="1" applyBorder="1" applyAlignment="1">
      <alignment vertical="distributed"/>
    </xf>
    <xf numFmtId="0" fontId="0" fillId="0" borderId="17" xfId="0" applyBorder="1"/>
    <xf numFmtId="9" fontId="11" fillId="0" borderId="13" xfId="2" applyFont="1" applyFill="1" applyBorder="1" applyAlignment="1">
      <alignment vertical="distributed"/>
    </xf>
    <xf numFmtId="0" fontId="0" fillId="0" borderId="18" xfId="0" applyBorder="1"/>
    <xf numFmtId="0" fontId="0" fillId="0" borderId="0" xfId="0" applyBorder="1"/>
    <xf numFmtId="3" fontId="11" fillId="0" borderId="1" xfId="0" applyNumberFormat="1" applyFont="1" applyFill="1" applyBorder="1" applyAlignment="1">
      <alignment horizontal="right" vertical="distributed"/>
    </xf>
    <xf numFmtId="0" fontId="0" fillId="0" borderId="19" xfId="0" applyBorder="1"/>
    <xf numFmtId="164" fontId="17" fillId="0" borderId="7" xfId="1" applyNumberFormat="1" applyFont="1" applyFill="1" applyBorder="1" applyAlignment="1">
      <alignment vertical="top"/>
    </xf>
    <xf numFmtId="3" fontId="16" fillId="2" borderId="7" xfId="0" applyNumberFormat="1" applyFont="1" applyFill="1" applyBorder="1" applyAlignment="1">
      <alignment vertical="distributed"/>
    </xf>
    <xf numFmtId="9" fontId="11" fillId="0" borderId="5" xfId="2" applyFont="1" applyFill="1" applyBorder="1" applyAlignment="1">
      <alignment vertical="distributed"/>
    </xf>
    <xf numFmtId="9" fontId="11" fillId="0" borderId="10" xfId="2" applyFont="1" applyFill="1" applyBorder="1" applyAlignment="1">
      <alignment vertical="distributed"/>
    </xf>
    <xf numFmtId="0" fontId="0" fillId="0" borderId="20" xfId="0" applyBorder="1"/>
    <xf numFmtId="0" fontId="17" fillId="0" borderId="4" xfId="0" applyFont="1" applyFill="1" applyBorder="1" applyAlignment="1">
      <alignment horizontal="center" vertical="top"/>
    </xf>
    <xf numFmtId="0" fontId="19" fillId="0" borderId="4" xfId="0" applyFont="1" applyFill="1" applyBorder="1" applyAlignment="1">
      <alignment horizontal="left" vertical="top"/>
    </xf>
    <xf numFmtId="9" fontId="11" fillId="0" borderId="6" xfId="2" applyFont="1" applyFill="1" applyBorder="1" applyAlignment="1">
      <alignment vertical="distributed"/>
    </xf>
    <xf numFmtId="9" fontId="11" fillId="0" borderId="1" xfId="2" applyFont="1" applyFill="1" applyBorder="1" applyAlignment="1">
      <alignment vertical="distributed"/>
    </xf>
    <xf numFmtId="0" fontId="19" fillId="0" borderId="5" xfId="0" applyFont="1" applyFill="1" applyBorder="1" applyAlignment="1">
      <alignment horizontal="left" vertical="top"/>
    </xf>
    <xf numFmtId="3" fontId="21" fillId="0" borderId="5" xfId="0" applyNumberFormat="1" applyFont="1" applyFill="1" applyBorder="1" applyAlignment="1">
      <alignment vertical="distributed"/>
    </xf>
    <xf numFmtId="3" fontId="21" fillId="2" borderId="5" xfId="0" applyNumberFormat="1" applyFont="1" applyFill="1" applyBorder="1" applyAlignment="1">
      <alignment vertical="distributed"/>
    </xf>
    <xf numFmtId="3" fontId="28" fillId="2" borderId="5" xfId="0" applyNumberFormat="1" applyFont="1" applyFill="1" applyBorder="1" applyAlignment="1">
      <alignment vertical="distributed"/>
    </xf>
    <xf numFmtId="0" fontId="18" fillId="2" borderId="6" xfId="0" applyFont="1" applyFill="1" applyBorder="1" applyAlignment="1">
      <alignment vertical="top"/>
    </xf>
    <xf numFmtId="3" fontId="16" fillId="2" borderId="6" xfId="0" applyNumberFormat="1" applyFont="1" applyFill="1" applyBorder="1" applyAlignment="1">
      <alignment vertical="distributed"/>
    </xf>
    <xf numFmtId="0" fontId="16" fillId="2" borderId="1" xfId="0" applyFont="1" applyFill="1" applyBorder="1" applyAlignment="1">
      <alignment wrapText="1"/>
    </xf>
    <xf numFmtId="164" fontId="16" fillId="2" borderId="1" xfId="1" applyNumberFormat="1" applyFont="1" applyFill="1" applyBorder="1"/>
    <xf numFmtId="0" fontId="18" fillId="2" borderId="5" xfId="0" applyFont="1" applyFill="1" applyBorder="1" applyAlignment="1">
      <alignment vertical="top"/>
    </xf>
    <xf numFmtId="164" fontId="19" fillId="0" borderId="5" xfId="1" applyNumberFormat="1" applyFont="1" applyFill="1" applyBorder="1" applyAlignment="1">
      <alignment vertical="top"/>
    </xf>
    <xf numFmtId="3" fontId="16" fillId="2" borderId="5" xfId="0" applyNumberFormat="1" applyFont="1" applyFill="1" applyBorder="1" applyAlignment="1">
      <alignment vertical="distributed"/>
    </xf>
    <xf numFmtId="9" fontId="16" fillId="0" borderId="5" xfId="2" applyFont="1" applyFill="1" applyBorder="1" applyAlignment="1">
      <alignment vertical="distributed"/>
    </xf>
    <xf numFmtId="0" fontId="17" fillId="0" borderId="6" xfId="0" applyFont="1" applyFill="1" applyBorder="1" applyAlignment="1">
      <alignment vertical="top"/>
    </xf>
    <xf numFmtId="3" fontId="16" fillId="0" borderId="6" xfId="0" applyNumberFormat="1" applyFont="1" applyFill="1" applyBorder="1" applyAlignment="1">
      <alignment vertical="distributed"/>
    </xf>
    <xf numFmtId="164" fontId="20" fillId="0" borderId="5" xfId="1" applyNumberFormat="1" applyFont="1" applyFill="1" applyBorder="1" applyAlignment="1">
      <alignment vertical="top"/>
    </xf>
    <xf numFmtId="0" fontId="17" fillId="0" borderId="5" xfId="0" applyFont="1" applyFill="1" applyBorder="1" applyAlignment="1">
      <alignment horizontal="center" vertical="top"/>
    </xf>
    <xf numFmtId="3" fontId="16" fillId="2" borderId="5" xfId="0" applyNumberFormat="1" applyFont="1" applyFill="1" applyBorder="1" applyAlignment="1">
      <alignment horizontal="right" vertical="distributed"/>
    </xf>
    <xf numFmtId="0" fontId="19" fillId="0" borderId="6" xfId="0" applyFont="1" applyFill="1" applyBorder="1" applyAlignment="1">
      <alignment horizontal="left" vertical="top"/>
    </xf>
    <xf numFmtId="3" fontId="21" fillId="0" borderId="6" xfId="0" applyNumberFormat="1" applyFont="1" applyFill="1" applyBorder="1" applyAlignment="1">
      <alignment vertical="distributed"/>
    </xf>
    <xf numFmtId="9" fontId="7" fillId="0" borderId="1" xfId="2" applyFont="1" applyFill="1" applyBorder="1" applyAlignment="1">
      <alignment vertical="distributed"/>
    </xf>
    <xf numFmtId="9" fontId="7" fillId="0" borderId="3" xfId="2" applyFont="1" applyFill="1" applyBorder="1" applyAlignment="1">
      <alignment vertical="distributed"/>
    </xf>
    <xf numFmtId="9" fontId="7" fillId="0" borderId="7" xfId="2" applyFont="1" applyFill="1" applyBorder="1" applyAlignment="1">
      <alignment vertical="distributed"/>
    </xf>
    <xf numFmtId="9" fontId="0" fillId="0" borderId="0" xfId="2" applyFont="1"/>
    <xf numFmtId="9" fontId="16" fillId="0" borderId="1" xfId="2" applyFont="1" applyFill="1" applyBorder="1" applyAlignment="1">
      <alignment horizontal="right" vertical="distributed"/>
    </xf>
    <xf numFmtId="9" fontId="11" fillId="0" borderId="1" xfId="2" applyFont="1" applyFill="1" applyBorder="1" applyAlignment="1">
      <alignment horizontal="right" vertical="distributed"/>
    </xf>
    <xf numFmtId="9" fontId="16" fillId="0" borderId="3" xfId="2" applyFont="1" applyFill="1" applyBorder="1" applyAlignment="1">
      <alignment vertical="distributed"/>
    </xf>
    <xf numFmtId="3" fontId="21" fillId="0" borderId="8" xfId="0" applyNumberFormat="1" applyFont="1" applyFill="1" applyBorder="1" applyAlignment="1">
      <alignment vertical="distributed"/>
    </xf>
    <xf numFmtId="3" fontId="27" fillId="2" borderId="20" xfId="0" applyNumberFormat="1" applyFont="1" applyFill="1" applyBorder="1"/>
    <xf numFmtId="164" fontId="0" fillId="0" borderId="0" xfId="1" applyNumberFormat="1" applyFont="1" applyBorder="1"/>
    <xf numFmtId="0" fontId="17" fillId="0" borderId="6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vertical="top"/>
    </xf>
    <xf numFmtId="164" fontId="34" fillId="0" borderId="1" xfId="1" applyNumberFormat="1" applyFont="1" applyFill="1" applyBorder="1" applyAlignment="1">
      <alignment vertical="top"/>
    </xf>
    <xf numFmtId="0" fontId="20" fillId="0" borderId="6" xfId="0" applyFont="1" applyFill="1" applyBorder="1" applyAlignment="1">
      <alignment vertical="top"/>
    </xf>
    <xf numFmtId="164" fontId="20" fillId="0" borderId="6" xfId="1" applyNumberFormat="1" applyFont="1" applyFill="1" applyBorder="1" applyAlignment="1">
      <alignment vertical="top"/>
    </xf>
    <xf numFmtId="0" fontId="20" fillId="0" borderId="4" xfId="0" applyFont="1" applyFill="1" applyBorder="1" applyAlignment="1">
      <alignment vertical="top"/>
    </xf>
    <xf numFmtId="164" fontId="20" fillId="0" borderId="4" xfId="1" applyNumberFormat="1" applyFont="1" applyFill="1" applyBorder="1" applyAlignment="1">
      <alignment vertical="top"/>
    </xf>
    <xf numFmtId="0" fontId="32" fillId="0" borderId="4" xfId="0" applyFont="1" applyFill="1" applyBorder="1" applyAlignment="1">
      <alignment vertical="top"/>
    </xf>
    <xf numFmtId="0" fontId="34" fillId="0" borderId="5" xfId="0" applyFont="1" applyFill="1" applyBorder="1" applyAlignment="1">
      <alignment vertical="top"/>
    </xf>
    <xf numFmtId="164" fontId="35" fillId="0" borderId="5" xfId="1" applyNumberFormat="1" applyFont="1" applyFill="1" applyBorder="1" applyAlignment="1">
      <alignment vertical="top"/>
    </xf>
    <xf numFmtId="164" fontId="23" fillId="0" borderId="4" xfId="1" applyNumberFormat="1" applyFont="1" applyFill="1" applyBorder="1" applyAlignment="1">
      <alignment vertical="top"/>
    </xf>
    <xf numFmtId="3" fontId="21" fillId="2" borderId="11" xfId="0" applyNumberFormat="1" applyFont="1" applyFill="1" applyBorder="1" applyAlignment="1">
      <alignment vertical="distributed"/>
    </xf>
    <xf numFmtId="0" fontId="23" fillId="0" borderId="5" xfId="0" applyFont="1" applyFill="1" applyBorder="1" applyAlignment="1">
      <alignment vertical="top"/>
    </xf>
    <xf numFmtId="164" fontId="23" fillId="0" borderId="5" xfId="1" applyNumberFormat="1" applyFont="1" applyFill="1" applyBorder="1" applyAlignment="1">
      <alignment vertical="top"/>
    </xf>
    <xf numFmtId="0" fontId="35" fillId="0" borderId="1" xfId="0" applyFont="1" applyFill="1" applyBorder="1" applyAlignment="1">
      <alignment vertical="top"/>
    </xf>
    <xf numFmtId="164" fontId="35" fillId="0" borderId="1" xfId="1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164" fontId="35" fillId="0" borderId="6" xfId="1" applyNumberFormat="1" applyFont="1" applyFill="1" applyBorder="1" applyAlignment="1">
      <alignment vertical="top"/>
    </xf>
    <xf numFmtId="164" fontId="35" fillId="0" borderId="4" xfId="1" applyNumberFormat="1" applyFont="1" applyFill="1" applyBorder="1" applyAlignment="1">
      <alignment vertical="top"/>
    </xf>
    <xf numFmtId="0" fontId="35" fillId="0" borderId="1" xfId="3" applyFont="1" applyFill="1" applyBorder="1" applyAlignment="1">
      <alignment horizontal="left" vertical="top" wrapText="1"/>
    </xf>
    <xf numFmtId="3" fontId="21" fillId="0" borderId="1" xfId="0" applyNumberFormat="1" applyFont="1" applyFill="1" applyBorder="1" applyAlignment="1">
      <alignment vertical="distributed"/>
    </xf>
    <xf numFmtId="0" fontId="35" fillId="0" borderId="6" xfId="0" applyFont="1" applyFill="1" applyBorder="1" applyAlignment="1">
      <alignment vertical="top"/>
    </xf>
    <xf numFmtId="0" fontId="1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36" fillId="0" borderId="1" xfId="1" applyNumberFormat="1" applyFont="1" applyBorder="1" applyAlignment="1">
      <alignment horizontal="center"/>
    </xf>
    <xf numFmtId="9" fontId="36" fillId="0" borderId="1" xfId="2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5" xfId="0" applyFont="1" applyBorder="1"/>
    <xf numFmtId="164" fontId="7" fillId="0" borderId="5" xfId="1" applyNumberFormat="1" applyFont="1" applyBorder="1"/>
    <xf numFmtId="9" fontId="6" fillId="0" borderId="5" xfId="2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10" fillId="0" borderId="1" xfId="0" applyFont="1" applyBorder="1"/>
    <xf numFmtId="164" fontId="10" fillId="0" borderId="1" xfId="1" applyNumberFormat="1" applyFont="1" applyBorder="1"/>
    <xf numFmtId="0" fontId="6" fillId="0" borderId="6" xfId="0" quotePrefix="1" applyFont="1" applyBorder="1" applyAlignment="1">
      <alignment horizontal="center"/>
    </xf>
    <xf numFmtId="0" fontId="6" fillId="0" borderId="6" xfId="0" applyFont="1" applyBorder="1"/>
    <xf numFmtId="164" fontId="6" fillId="0" borderId="6" xfId="1" applyNumberFormat="1" applyFont="1" applyBorder="1"/>
    <xf numFmtId="164" fontId="6" fillId="0" borderId="5" xfId="1" applyNumberFormat="1" applyFont="1" applyBorder="1"/>
    <xf numFmtId="9" fontId="6" fillId="0" borderId="7" xfId="2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5" xfId="0" applyFont="1" applyBorder="1"/>
    <xf numFmtId="164" fontId="6" fillId="0" borderId="4" xfId="1" applyNumberFormat="1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36" fillId="0" borderId="1" xfId="1" applyNumberFormat="1" applyFont="1" applyBorder="1"/>
    <xf numFmtId="10" fontId="37" fillId="0" borderId="1" xfId="2" applyNumberFormat="1" applyFont="1" applyBorder="1" applyAlignment="1">
      <alignment horizontal="center"/>
    </xf>
    <xf numFmtId="9" fontId="7" fillId="0" borderId="1" xfId="2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164" fontId="7" fillId="0" borderId="7" xfId="1" applyNumberFormat="1" applyFont="1" applyBorder="1"/>
    <xf numFmtId="9" fontId="7" fillId="0" borderId="7" xfId="2" applyFont="1" applyBorder="1" applyAlignment="1">
      <alignment horizontal="center"/>
    </xf>
    <xf numFmtId="164" fontId="7" fillId="0" borderId="1" xfId="1" applyNumberFormat="1" applyFont="1" applyBorder="1"/>
    <xf numFmtId="9" fontId="6" fillId="0" borderId="1" xfId="2" applyFont="1" applyBorder="1" applyAlignment="1">
      <alignment horizontal="center"/>
    </xf>
    <xf numFmtId="9" fontId="6" fillId="0" borderId="6" xfId="2" applyFont="1" applyBorder="1" applyAlignment="1">
      <alignment horizontal="center"/>
    </xf>
    <xf numFmtId="0" fontId="6" fillId="0" borderId="4" xfId="0" applyFont="1" applyBorder="1"/>
    <xf numFmtId="9" fontId="6" fillId="0" borderId="4" xfId="2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64" fontId="6" fillId="0" borderId="1" xfId="1" applyNumberFormat="1" applyFont="1" applyBorder="1"/>
    <xf numFmtId="0" fontId="7" fillId="0" borderId="6" xfId="0" applyFont="1" applyBorder="1" applyAlignment="1">
      <alignment horizontal="center"/>
    </xf>
    <xf numFmtId="0" fontId="6" fillId="0" borderId="7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3" xfId="0" applyFont="1" applyBorder="1"/>
    <xf numFmtId="164" fontId="6" fillId="0" borderId="3" xfId="1" applyNumberFormat="1" applyFont="1" applyBorder="1"/>
    <xf numFmtId="0" fontId="3" fillId="0" borderId="3" xfId="0" applyFont="1" applyBorder="1"/>
    <xf numFmtId="0" fontId="1" fillId="0" borderId="3" xfId="0" applyFont="1" applyBorder="1"/>
    <xf numFmtId="9" fontId="37" fillId="0" borderId="1" xfId="2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7" fillId="0" borderId="0" xfId="1" applyNumberFormat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64" fontId="7" fillId="0" borderId="14" xfId="1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9" fontId="11" fillId="0" borderId="2" xfId="2" applyFont="1" applyFill="1" applyBorder="1" applyAlignment="1">
      <alignment horizontal="center" vertical="center" wrapText="1"/>
    </xf>
    <xf numFmtId="9" fontId="11" fillId="0" borderId="3" xfId="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top"/>
    </xf>
    <xf numFmtId="0" fontId="11" fillId="0" borderId="2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1"/>
  <sheetViews>
    <sheetView workbookViewId="0">
      <selection activeCell="I37" sqref="I37"/>
    </sheetView>
  </sheetViews>
  <sheetFormatPr defaultRowHeight="15.75"/>
  <cols>
    <col min="1" max="1" width="7.25" style="20" customWidth="1"/>
    <col min="2" max="2" width="57.25" style="20" customWidth="1"/>
    <col min="3" max="3" width="22.5" style="78" customWidth="1"/>
    <col min="4" max="4" width="21.25" style="78" customWidth="1"/>
    <col min="5" max="5" width="10.375" style="58" customWidth="1"/>
    <col min="6" max="6" width="10.25" style="58" customWidth="1"/>
    <col min="7" max="7" width="19.25" style="20" customWidth="1"/>
    <col min="8" max="8" width="11.875" style="20" customWidth="1"/>
    <col min="9" max="9" width="14" style="20" customWidth="1"/>
    <col min="10" max="16384" width="9" style="20"/>
  </cols>
  <sheetData>
    <row r="1" spans="1:12" ht="16.5" customHeight="1">
      <c r="A1" s="223" t="s">
        <v>28</v>
      </c>
      <c r="B1" s="223"/>
      <c r="C1" s="222" t="s">
        <v>12</v>
      </c>
      <c r="D1" s="222"/>
      <c r="E1" s="222"/>
      <c r="F1" s="222"/>
    </row>
    <row r="2" spans="1:12">
      <c r="A2" s="224" t="s">
        <v>29</v>
      </c>
      <c r="B2" s="224"/>
      <c r="C2" s="222" t="s">
        <v>13</v>
      </c>
      <c r="D2" s="222"/>
      <c r="E2" s="222"/>
      <c r="F2" s="222"/>
    </row>
    <row r="3" spans="1:12" ht="19.5" customHeight="1">
      <c r="A3" s="83"/>
      <c r="B3" s="83"/>
    </row>
    <row r="4" spans="1:12" ht="20.25" customHeight="1"/>
    <row r="5" spans="1:12" ht="21.75" customHeight="1">
      <c r="A5" s="222" t="s">
        <v>14</v>
      </c>
      <c r="B5" s="222"/>
      <c r="C5" s="222"/>
      <c r="D5" s="222"/>
      <c r="E5" s="222"/>
      <c r="F5" s="222"/>
      <c r="G5" s="163"/>
      <c r="H5" s="163"/>
      <c r="I5" s="163"/>
      <c r="J5" s="163"/>
      <c r="K5" s="163"/>
      <c r="L5" s="163"/>
    </row>
    <row r="6" spans="1:12" ht="21" customHeight="1">
      <c r="A6" s="222" t="s">
        <v>176</v>
      </c>
      <c r="B6" s="222"/>
      <c r="C6" s="222"/>
      <c r="D6" s="222"/>
      <c r="E6" s="222"/>
      <c r="F6" s="222"/>
    </row>
    <row r="7" spans="1:12" ht="15" customHeight="1">
      <c r="G7" s="60"/>
    </row>
    <row r="8" spans="1:12">
      <c r="F8" s="64" t="s">
        <v>125</v>
      </c>
    </row>
    <row r="9" spans="1:12" s="164" customFormat="1" ht="40.5" customHeight="1">
      <c r="A9" s="217" t="s">
        <v>0</v>
      </c>
      <c r="B9" s="217" t="s">
        <v>3</v>
      </c>
      <c r="C9" s="213" t="s">
        <v>121</v>
      </c>
      <c r="D9" s="220" t="s">
        <v>177</v>
      </c>
      <c r="E9" s="215" t="s">
        <v>122</v>
      </c>
      <c r="F9" s="216"/>
      <c r="G9" s="213" t="s">
        <v>178</v>
      </c>
      <c r="H9" s="215" t="s">
        <v>122</v>
      </c>
      <c r="I9" s="216"/>
    </row>
    <row r="10" spans="1:12" s="164" customFormat="1" ht="50.25" customHeight="1">
      <c r="A10" s="218"/>
      <c r="B10" s="218"/>
      <c r="C10" s="219"/>
      <c r="D10" s="221"/>
      <c r="E10" s="81" t="s">
        <v>123</v>
      </c>
      <c r="F10" s="165" t="s">
        <v>124</v>
      </c>
      <c r="G10" s="214"/>
      <c r="H10" s="81" t="s">
        <v>123</v>
      </c>
      <c r="I10" s="165" t="s">
        <v>124</v>
      </c>
    </row>
    <row r="11" spans="1:12" s="164" customFormat="1" ht="23.25" customHeight="1">
      <c r="A11" s="166" t="s">
        <v>1</v>
      </c>
      <c r="B11" s="166" t="s">
        <v>2</v>
      </c>
      <c r="C11" s="167">
        <v>1</v>
      </c>
      <c r="D11" s="167">
        <v>2</v>
      </c>
      <c r="E11" s="168" t="s">
        <v>4</v>
      </c>
      <c r="F11" s="168">
        <v>4</v>
      </c>
      <c r="G11" s="167">
        <v>2</v>
      </c>
      <c r="H11" s="168" t="s">
        <v>4</v>
      </c>
      <c r="I11" s="168">
        <v>4</v>
      </c>
    </row>
    <row r="12" spans="1:12" s="164" customFormat="1" ht="20.25">
      <c r="A12" s="169" t="s">
        <v>1</v>
      </c>
      <c r="B12" s="170" t="s">
        <v>41</v>
      </c>
      <c r="C12" s="171">
        <f>C13+C18+C19</f>
        <v>2949313000000</v>
      </c>
      <c r="D12" s="171">
        <f>D13+D18+D19</f>
        <v>619212045634</v>
      </c>
      <c r="E12" s="172">
        <f>D12/C12*100%</f>
        <v>0.20995128208976124</v>
      </c>
      <c r="F12" s="172">
        <f>D12/565126047889</f>
        <v>1.0957060782227885</v>
      </c>
      <c r="G12" s="171">
        <f>G13+G18+G19</f>
        <v>1403536221580</v>
      </c>
      <c r="H12" s="172">
        <f>G12/C12*100%</f>
        <v>0.47588581530003765</v>
      </c>
      <c r="I12" s="172">
        <f>G12/1695378143666</f>
        <v>0.82786027814718921</v>
      </c>
    </row>
    <row r="13" spans="1:12" s="164" customFormat="1">
      <c r="A13" s="173" t="s">
        <v>5</v>
      </c>
      <c r="B13" s="174" t="s">
        <v>34</v>
      </c>
      <c r="C13" s="175">
        <f>SUM(C15:C16)</f>
        <v>2022000000000</v>
      </c>
      <c r="D13" s="175">
        <f>SUM(D15:D16)</f>
        <v>462242045634</v>
      </c>
      <c r="E13" s="176">
        <f t="shared" ref="E13:E32" si="0">D13/C13*100%</f>
        <v>0.22860635293471809</v>
      </c>
      <c r="F13" s="176">
        <f>D13/418482381222</f>
        <v>1.104567519149118</v>
      </c>
      <c r="G13" s="175">
        <f>SUM(G15:G16)</f>
        <v>953251221580</v>
      </c>
      <c r="H13" s="176">
        <v>0.47</v>
      </c>
      <c r="I13" s="176">
        <f>G13/1255447143666</f>
        <v>0.75929219831305272</v>
      </c>
    </row>
    <row r="14" spans="1:12" s="164" customFormat="1">
      <c r="A14" s="177"/>
      <c r="B14" s="178" t="s">
        <v>47</v>
      </c>
      <c r="C14" s="179">
        <f>C15-270000000000</f>
        <v>1752000000000</v>
      </c>
      <c r="D14" s="179">
        <f>D13-135791981671</f>
        <v>326450063963</v>
      </c>
      <c r="E14" s="176">
        <f t="shared" si="0"/>
        <v>0.18632994518436072</v>
      </c>
      <c r="F14" s="176">
        <f>D14/170802234627</f>
        <v>1.9112751345197891</v>
      </c>
      <c r="G14" s="179">
        <f>G13-167872232569</f>
        <v>785378989011</v>
      </c>
      <c r="H14" s="176">
        <v>0</v>
      </c>
      <c r="I14" s="176">
        <f>G14/948003121316</f>
        <v>0.82845612145322023</v>
      </c>
    </row>
    <row r="15" spans="1:12" s="164" customFormat="1">
      <c r="A15" s="180">
        <v>1</v>
      </c>
      <c r="B15" s="181" t="s">
        <v>35</v>
      </c>
      <c r="C15" s="182">
        <v>2022000000000</v>
      </c>
      <c r="D15" s="183">
        <v>462242045634</v>
      </c>
      <c r="E15" s="176">
        <f t="shared" si="0"/>
        <v>0.22860635293471809</v>
      </c>
      <c r="F15" s="184">
        <f>D15/418482381222</f>
        <v>1.104567519149118</v>
      </c>
      <c r="G15" s="203">
        <v>953251221580</v>
      </c>
      <c r="H15" s="176">
        <v>0.47</v>
      </c>
      <c r="I15" s="184">
        <f>G15/1255447143666</f>
        <v>0.75929219831305272</v>
      </c>
    </row>
    <row r="16" spans="1:12" s="164" customFormat="1">
      <c r="A16" s="185">
        <v>2</v>
      </c>
      <c r="B16" s="186" t="s">
        <v>17</v>
      </c>
      <c r="C16" s="183">
        <v>0</v>
      </c>
      <c r="D16" s="187"/>
      <c r="E16" s="176"/>
      <c r="F16" s="176"/>
      <c r="G16" s="187"/>
      <c r="H16" s="176"/>
      <c r="I16" s="176"/>
    </row>
    <row r="17" spans="1:9" s="164" customFormat="1">
      <c r="A17" s="188">
        <v>3</v>
      </c>
      <c r="B17" s="186" t="s">
        <v>27</v>
      </c>
      <c r="C17" s="183">
        <v>0</v>
      </c>
      <c r="D17" s="183"/>
      <c r="E17" s="176"/>
      <c r="F17" s="176"/>
      <c r="G17" s="183"/>
      <c r="H17" s="176"/>
      <c r="I17" s="176"/>
    </row>
    <row r="18" spans="1:9" s="164" customFormat="1">
      <c r="A18" s="188">
        <v>4</v>
      </c>
      <c r="B18" s="186" t="s">
        <v>22</v>
      </c>
      <c r="C18" s="183">
        <v>898434000000</v>
      </c>
      <c r="D18" s="183">
        <v>156970000000</v>
      </c>
      <c r="E18" s="176">
        <f t="shared" si="0"/>
        <v>0.17471511541192786</v>
      </c>
      <c r="F18" s="176">
        <f>D18/146643666667</f>
        <v>1.0704178609803119</v>
      </c>
      <c r="G18" s="183">
        <v>450285000000</v>
      </c>
      <c r="H18" s="176">
        <v>0.5</v>
      </c>
      <c r="I18" s="176">
        <f>G18/439931000000</f>
        <v>1.0235355089775442</v>
      </c>
    </row>
    <row r="19" spans="1:9" s="164" customFormat="1">
      <c r="A19" s="188">
        <v>5</v>
      </c>
      <c r="B19" s="186" t="s">
        <v>37</v>
      </c>
      <c r="C19" s="183">
        <v>28879000000</v>
      </c>
      <c r="D19" s="183">
        <v>0</v>
      </c>
      <c r="E19" s="176"/>
      <c r="F19" s="176"/>
      <c r="G19" s="183">
        <v>0</v>
      </c>
      <c r="H19" s="176"/>
      <c r="I19" s="176"/>
    </row>
    <row r="20" spans="1:9" s="164" customFormat="1">
      <c r="A20" s="189" t="s">
        <v>8</v>
      </c>
      <c r="B20" s="174" t="s">
        <v>38</v>
      </c>
      <c r="C20" s="183"/>
      <c r="D20" s="183"/>
      <c r="E20" s="176"/>
      <c r="F20" s="176"/>
      <c r="G20" s="183"/>
      <c r="H20" s="176"/>
      <c r="I20" s="176"/>
    </row>
    <row r="21" spans="1:9" s="164" customFormat="1" ht="20.25">
      <c r="A21" s="169" t="s">
        <v>2</v>
      </c>
      <c r="B21" s="170" t="s">
        <v>39</v>
      </c>
      <c r="C21" s="190">
        <f>C22+C38</f>
        <v>3203887000000</v>
      </c>
      <c r="D21" s="190">
        <f>D22+D38+D39</f>
        <v>593751430808</v>
      </c>
      <c r="E21" s="191">
        <f t="shared" si="0"/>
        <v>0.18532221355122699</v>
      </c>
      <c r="F21" s="192">
        <f>D21/671019711922</f>
        <v>0.88484946158633604</v>
      </c>
      <c r="G21" s="190">
        <f>G22+G38+G39+G41</f>
        <v>1225280582241</v>
      </c>
      <c r="H21" s="212">
        <v>0.38</v>
      </c>
      <c r="I21" s="192">
        <f>G21/2013059135766</f>
        <v>0.60866596538147</v>
      </c>
    </row>
    <row r="22" spans="1:9" s="164" customFormat="1">
      <c r="A22" s="193" t="s">
        <v>5</v>
      </c>
      <c r="B22" s="194" t="s">
        <v>18</v>
      </c>
      <c r="C22" s="195">
        <f>C23+C30+C33+C36+C37</f>
        <v>3203887000000</v>
      </c>
      <c r="D22" s="195">
        <f>D23+D30+D37</f>
        <v>563625869393</v>
      </c>
      <c r="E22" s="196">
        <f t="shared" si="0"/>
        <v>0.17591939709265653</v>
      </c>
      <c r="F22" s="184">
        <f>D22/393250316111</f>
        <v>1.4332496282950458</v>
      </c>
      <c r="G22" s="195">
        <f>G23+G30+G37</f>
        <v>997331052320</v>
      </c>
      <c r="H22" s="196">
        <v>0.31</v>
      </c>
      <c r="I22" s="184">
        <f>G22/1179750948332</f>
        <v>0.84537423235818054</v>
      </c>
    </row>
    <row r="23" spans="1:9" s="164" customFormat="1">
      <c r="A23" s="169">
        <v>1</v>
      </c>
      <c r="B23" s="170" t="s">
        <v>6</v>
      </c>
      <c r="C23" s="197">
        <f>SUM(C25:C28)</f>
        <v>855441000000</v>
      </c>
      <c r="D23" s="197">
        <f>D24+D29</f>
        <v>103594000000</v>
      </c>
      <c r="E23" s="198">
        <v>0.02</v>
      </c>
      <c r="F23" s="198">
        <f>D23/101899809589</f>
        <v>1.0166260409890195</v>
      </c>
      <c r="G23" s="197">
        <f>G24+G29</f>
        <v>143497000000</v>
      </c>
      <c r="H23" s="198">
        <v>0.16</v>
      </c>
      <c r="I23" s="198">
        <f>G23/305699428766</f>
        <v>0.4694055222126074</v>
      </c>
    </row>
    <row r="24" spans="1:9" s="164" customFormat="1" ht="21" customHeight="1">
      <c r="A24" s="169" t="s">
        <v>15</v>
      </c>
      <c r="B24" s="170" t="s">
        <v>43</v>
      </c>
      <c r="C24" s="197">
        <f>SUM(C25:C28)</f>
        <v>855441000000</v>
      </c>
      <c r="D24" s="197">
        <f>SUM(D25:D28)</f>
        <v>103154000000</v>
      </c>
      <c r="E24" s="198">
        <v>0.02</v>
      </c>
      <c r="F24" s="198">
        <v>1.02</v>
      </c>
      <c r="G24" s="197">
        <f>SUM(G25:G28)</f>
        <v>140672000000</v>
      </c>
      <c r="H24" s="192">
        <v>0.16</v>
      </c>
      <c r="I24" s="198">
        <f>G24/305699428766</f>
        <v>0.46016441891253412</v>
      </c>
    </row>
    <row r="25" spans="1:9" s="164" customFormat="1">
      <c r="A25" s="180" t="s">
        <v>42</v>
      </c>
      <c r="B25" s="181" t="s">
        <v>30</v>
      </c>
      <c r="C25" s="79">
        <v>239257000000</v>
      </c>
      <c r="D25" s="182">
        <v>16677000000</v>
      </c>
      <c r="E25" s="199">
        <f t="shared" si="0"/>
        <v>6.9703289767906476E-2</v>
      </c>
      <c r="F25" s="199">
        <f>D25/36838456774</f>
        <v>0.45270626026251898</v>
      </c>
      <c r="G25" s="182">
        <v>40139000000</v>
      </c>
      <c r="H25" s="199">
        <v>0.17</v>
      </c>
      <c r="I25" s="199">
        <f>G25/110515370322</f>
        <v>0.36319834863738981</v>
      </c>
    </row>
    <row r="26" spans="1:9" s="164" customFormat="1">
      <c r="A26" s="185" t="s">
        <v>42</v>
      </c>
      <c r="B26" s="200" t="s">
        <v>31</v>
      </c>
      <c r="C26" s="79">
        <v>284554000000</v>
      </c>
      <c r="D26" s="182">
        <v>21104000000</v>
      </c>
      <c r="E26" s="201">
        <f t="shared" si="0"/>
        <v>7.4165184815535898E-2</v>
      </c>
      <c r="F26" s="201">
        <f>D26/51790370426</f>
        <v>0.4074888792339143</v>
      </c>
      <c r="G26" s="182">
        <v>31665000000</v>
      </c>
      <c r="H26" s="201">
        <v>0.11</v>
      </c>
      <c r="I26" s="201">
        <f>G26/155371111277</f>
        <v>0.20380236544454358</v>
      </c>
    </row>
    <row r="27" spans="1:9" s="164" customFormat="1">
      <c r="A27" s="185" t="s">
        <v>42</v>
      </c>
      <c r="B27" s="200" t="s">
        <v>32</v>
      </c>
      <c r="C27" s="79">
        <v>93943000000</v>
      </c>
      <c r="D27" s="182">
        <v>4884000000</v>
      </c>
      <c r="E27" s="201">
        <f t="shared" si="0"/>
        <v>5.1988972036234739E-2</v>
      </c>
      <c r="F27" s="201">
        <f>D27/13270982389</f>
        <v>0.36802098419241597</v>
      </c>
      <c r="G27" s="182">
        <v>8379000000</v>
      </c>
      <c r="H27" s="201">
        <v>0.09</v>
      </c>
      <c r="I27" s="201">
        <f>G27/39812947167</f>
        <v>0.21045917462109293</v>
      </c>
    </row>
    <row r="28" spans="1:9" s="164" customFormat="1">
      <c r="A28" s="202" t="s">
        <v>42</v>
      </c>
      <c r="B28" s="200" t="s">
        <v>179</v>
      </c>
      <c r="C28" s="79">
        <v>237687000000</v>
      </c>
      <c r="D28" s="183">
        <v>60489000000</v>
      </c>
      <c r="E28" s="176"/>
      <c r="F28" s="176">
        <v>0</v>
      </c>
      <c r="G28" s="183">
        <v>60489000000</v>
      </c>
      <c r="H28" s="176">
        <v>0.25</v>
      </c>
      <c r="I28" s="176">
        <v>0</v>
      </c>
    </row>
    <row r="29" spans="1:9" s="164" customFormat="1" ht="21" customHeight="1">
      <c r="A29" s="169" t="s">
        <v>16</v>
      </c>
      <c r="B29" s="170" t="s">
        <v>44</v>
      </c>
      <c r="C29" s="203">
        <v>0</v>
      </c>
      <c r="D29" s="197">
        <v>440000000</v>
      </c>
      <c r="E29" s="198"/>
      <c r="F29" s="198">
        <v>0</v>
      </c>
      <c r="G29" s="197">
        <v>2825000000</v>
      </c>
      <c r="H29" s="198"/>
      <c r="I29" s="198"/>
    </row>
    <row r="30" spans="1:9" s="164" customFormat="1">
      <c r="A30" s="169">
        <v>2</v>
      </c>
      <c r="B30" s="170" t="s">
        <v>19</v>
      </c>
      <c r="C30" s="197">
        <f>C31+C32</f>
        <v>2277363000000</v>
      </c>
      <c r="D30" s="197">
        <f>D31+D32</f>
        <v>460031869393</v>
      </c>
      <c r="E30" s="192">
        <f t="shared" si="0"/>
        <v>0.20200199502363039</v>
      </c>
      <c r="F30" s="192">
        <f>D30/287683839855</f>
        <v>1.5990883242689886</v>
      </c>
      <c r="G30" s="197">
        <f>G31+G32</f>
        <v>843834052320</v>
      </c>
      <c r="H30" s="192">
        <f>37</f>
        <v>37</v>
      </c>
      <c r="I30" s="192">
        <f>G30/863051519566</f>
        <v>0.9777331169573007</v>
      </c>
    </row>
    <row r="31" spans="1:9" s="164" customFormat="1">
      <c r="A31" s="204"/>
      <c r="B31" s="181" t="s">
        <v>20</v>
      </c>
      <c r="C31" s="182">
        <v>2004978000000</v>
      </c>
      <c r="D31" s="182">
        <v>399260657580</v>
      </c>
      <c r="E31" s="199">
        <f t="shared" si="0"/>
        <v>0.19913468256509548</v>
      </c>
      <c r="F31" s="199">
        <f>D31/251419580877</f>
        <v>1.5880253088773031</v>
      </c>
      <c r="G31" s="182">
        <v>731862982790</v>
      </c>
      <c r="H31" s="199">
        <v>0.37</v>
      </c>
      <c r="I31" s="199">
        <f>G31/754258742631</f>
        <v>0.97030758998844446</v>
      </c>
    </row>
    <row r="32" spans="1:9" s="164" customFormat="1">
      <c r="A32" s="189"/>
      <c r="B32" s="186" t="s">
        <v>26</v>
      </c>
      <c r="C32" s="183">
        <v>272385000000</v>
      </c>
      <c r="D32" s="182">
        <v>60771211813</v>
      </c>
      <c r="E32" s="176">
        <f t="shared" si="0"/>
        <v>0.22310777690768582</v>
      </c>
      <c r="F32" s="176">
        <f>D32/36264258978</f>
        <v>1.6757880493261241</v>
      </c>
      <c r="G32" s="182">
        <v>111971069530</v>
      </c>
      <c r="H32" s="176">
        <v>0.41</v>
      </c>
      <c r="I32" s="176">
        <f>G32/108792776935</f>
        <v>1.029214187600882</v>
      </c>
    </row>
    <row r="33" spans="1:9" s="164" customFormat="1">
      <c r="A33" s="169">
        <v>3</v>
      </c>
      <c r="B33" s="170" t="s">
        <v>7</v>
      </c>
      <c r="C33" s="197">
        <f>C34+C35</f>
        <v>59200000000</v>
      </c>
      <c r="D33" s="203">
        <v>0</v>
      </c>
      <c r="E33" s="203"/>
      <c r="F33" s="198"/>
      <c r="G33" s="203">
        <v>0</v>
      </c>
      <c r="H33" s="203"/>
      <c r="I33" s="198"/>
    </row>
    <row r="34" spans="1:9" s="164" customFormat="1">
      <c r="A34" s="204"/>
      <c r="B34" s="205" t="s">
        <v>20</v>
      </c>
      <c r="C34" s="182">
        <v>53755000000</v>
      </c>
      <c r="D34" s="182"/>
      <c r="E34" s="176"/>
      <c r="F34" s="199"/>
      <c r="G34" s="182"/>
      <c r="H34" s="176"/>
      <c r="I34" s="199"/>
    </row>
    <row r="35" spans="1:9" s="164" customFormat="1">
      <c r="A35" s="189"/>
      <c r="B35" s="186" t="s">
        <v>26</v>
      </c>
      <c r="C35" s="183">
        <v>5445000000</v>
      </c>
      <c r="D35" s="183"/>
      <c r="E35" s="176"/>
      <c r="F35" s="176"/>
      <c r="G35" s="183"/>
      <c r="H35" s="176"/>
      <c r="I35" s="176"/>
    </row>
    <row r="36" spans="1:9" s="164" customFormat="1">
      <c r="A36" s="169">
        <v>4</v>
      </c>
      <c r="B36" s="170" t="s">
        <v>33</v>
      </c>
      <c r="C36" s="197">
        <v>883000000</v>
      </c>
      <c r="D36" s="203"/>
      <c r="E36" s="198"/>
      <c r="F36" s="198"/>
      <c r="G36" s="203"/>
      <c r="H36" s="198"/>
      <c r="I36" s="198"/>
    </row>
    <row r="37" spans="1:9" s="164" customFormat="1">
      <c r="A37" s="169">
        <v>5</v>
      </c>
      <c r="B37" s="170" t="s">
        <v>46</v>
      </c>
      <c r="C37" s="197">
        <v>11000000000</v>
      </c>
      <c r="D37" s="203">
        <v>0</v>
      </c>
      <c r="E37" s="176"/>
      <c r="F37" s="198"/>
      <c r="G37" s="203">
        <v>10000000000</v>
      </c>
      <c r="H37" s="176"/>
      <c r="I37" s="198"/>
    </row>
    <row r="38" spans="1:9" s="164" customFormat="1">
      <c r="A38" s="206" t="s">
        <v>8</v>
      </c>
      <c r="B38" s="170" t="s">
        <v>49</v>
      </c>
      <c r="C38" s="197">
        <v>0</v>
      </c>
      <c r="D38" s="203">
        <v>28238669484</v>
      </c>
      <c r="E38" s="207"/>
      <c r="F38" s="198"/>
      <c r="G38" s="203">
        <v>43530000000</v>
      </c>
      <c r="H38" s="207"/>
      <c r="I38" s="198"/>
    </row>
    <row r="39" spans="1:9" s="164" customFormat="1">
      <c r="A39" s="206" t="s">
        <v>9</v>
      </c>
      <c r="B39" s="208" t="s">
        <v>48</v>
      </c>
      <c r="C39" s="209"/>
      <c r="D39" s="203">
        <v>1886891931</v>
      </c>
      <c r="E39" s="210"/>
      <c r="F39" s="198"/>
      <c r="G39" s="203">
        <v>68426447921</v>
      </c>
      <c r="H39" s="210"/>
      <c r="I39" s="198"/>
    </row>
    <row r="40" spans="1:9" ht="18.75" hidden="1" customHeight="1">
      <c r="A40" s="206" t="s">
        <v>11</v>
      </c>
      <c r="B40" s="211" t="s">
        <v>40</v>
      </c>
      <c r="C40" s="209"/>
      <c r="D40" s="203">
        <v>0</v>
      </c>
      <c r="E40" s="210"/>
      <c r="F40" s="198"/>
    </row>
    <row r="41" spans="1:9">
      <c r="A41" s="206" t="s">
        <v>11</v>
      </c>
      <c r="B41" s="208" t="s">
        <v>40</v>
      </c>
      <c r="C41" s="209"/>
      <c r="D41" s="203">
        <v>1886891931</v>
      </c>
      <c r="E41" s="210"/>
      <c r="F41" s="198"/>
      <c r="G41" s="203">
        <v>115993082000</v>
      </c>
      <c r="H41" s="210"/>
      <c r="I41" s="198"/>
    </row>
  </sheetData>
  <mergeCells count="13">
    <mergeCell ref="A6:F6"/>
    <mergeCell ref="A1:B1"/>
    <mergeCell ref="C1:F1"/>
    <mergeCell ref="A2:B2"/>
    <mergeCell ref="C2:F2"/>
    <mergeCell ref="A5:F5"/>
    <mergeCell ref="G9:G10"/>
    <mergeCell ref="H9:I9"/>
    <mergeCell ref="A9:A10"/>
    <mergeCell ref="B9:B10"/>
    <mergeCell ref="C9:C10"/>
    <mergeCell ref="D9:D10"/>
    <mergeCell ref="E9:F9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97"/>
  <sheetViews>
    <sheetView workbookViewId="0">
      <selection activeCell="F7" sqref="F7"/>
    </sheetView>
  </sheetViews>
  <sheetFormatPr defaultRowHeight="15.75"/>
  <cols>
    <col min="1" max="1" width="5.875" style="2" customWidth="1"/>
    <col min="2" max="2" width="40.25" style="2" customWidth="1"/>
    <col min="3" max="3" width="16.875" style="3" customWidth="1"/>
    <col min="4" max="4" width="17.125" style="3" customWidth="1"/>
    <col min="5" max="5" width="15.75" style="3" customWidth="1"/>
    <col min="6" max="6" width="16" style="3" customWidth="1"/>
    <col min="7" max="7" width="7.875" style="3" customWidth="1"/>
    <col min="8" max="8" width="7.375" style="3" customWidth="1"/>
    <col min="9" max="9" width="6" style="3" customWidth="1"/>
    <col min="10" max="10" width="17.125" style="3" customWidth="1"/>
    <col min="11" max="11" width="17.75" style="3" customWidth="1"/>
    <col min="12" max="12" width="20.375" style="3" hidden="1" customWidth="1"/>
    <col min="13" max="13" width="8.375" style="2" customWidth="1"/>
    <col min="14" max="14" width="9.25" style="2" customWidth="1"/>
    <col min="15" max="15" width="7.375" style="2" customWidth="1"/>
    <col min="16" max="16384" width="9" style="2"/>
  </cols>
  <sheetData>
    <row r="1" spans="1:15">
      <c r="A1" s="88" t="s">
        <v>28</v>
      </c>
      <c r="B1" s="88">
        <v>3</v>
      </c>
      <c r="C1" s="225" t="s">
        <v>12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5">
      <c r="A2" s="89" t="s">
        <v>29</v>
      </c>
      <c r="B2" s="89"/>
      <c r="C2" s="225" t="s">
        <v>50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5">
      <c r="A3" s="89"/>
      <c r="B3" s="89"/>
    </row>
    <row r="4" spans="1:15" ht="27" customHeight="1">
      <c r="A4" s="225" t="s">
        <v>165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15" ht="22.5" customHeight="1">
      <c r="M5" s="65"/>
    </row>
    <row r="6" spans="1:15" ht="48" customHeight="1">
      <c r="A6" s="217" t="s">
        <v>0</v>
      </c>
      <c r="B6" s="217" t="s">
        <v>3</v>
      </c>
      <c r="C6" s="227" t="s">
        <v>121</v>
      </c>
      <c r="D6" s="228"/>
      <c r="E6" s="229" t="s">
        <v>166</v>
      </c>
      <c r="F6" s="230"/>
      <c r="G6" s="230"/>
      <c r="H6" s="230"/>
      <c r="I6" s="230"/>
      <c r="J6" s="230"/>
      <c r="K6" s="231"/>
      <c r="L6" s="84" t="s">
        <v>162</v>
      </c>
      <c r="M6" s="232" t="s">
        <v>126</v>
      </c>
      <c r="N6" s="233"/>
      <c r="O6" s="234"/>
    </row>
    <row r="7" spans="1:15" ht="126" customHeight="1">
      <c r="A7" s="226"/>
      <c r="B7" s="226"/>
      <c r="C7" s="82" t="s">
        <v>51</v>
      </c>
      <c r="D7" s="82" t="s">
        <v>52</v>
      </c>
      <c r="E7" s="86" t="s">
        <v>168</v>
      </c>
      <c r="F7" s="82" t="s">
        <v>167</v>
      </c>
      <c r="G7" s="81" t="s">
        <v>127</v>
      </c>
      <c r="H7" s="81" t="s">
        <v>128</v>
      </c>
      <c r="I7" s="81" t="s">
        <v>175</v>
      </c>
      <c r="J7" s="82" t="s">
        <v>163</v>
      </c>
      <c r="K7" s="82" t="s">
        <v>164</v>
      </c>
      <c r="L7" s="82" t="s">
        <v>51</v>
      </c>
      <c r="M7" s="81" t="s">
        <v>127</v>
      </c>
      <c r="N7" s="81" t="s">
        <v>128</v>
      </c>
      <c r="O7" s="81" t="s">
        <v>175</v>
      </c>
    </row>
    <row r="8" spans="1:15">
      <c r="A8" s="81" t="s">
        <v>1</v>
      </c>
      <c r="B8" s="81" t="s">
        <v>2</v>
      </c>
      <c r="C8" s="82">
        <v>1</v>
      </c>
      <c r="D8" s="82">
        <v>2</v>
      </c>
      <c r="E8" s="82">
        <v>3</v>
      </c>
      <c r="F8" s="82">
        <v>4</v>
      </c>
      <c r="G8" s="82" t="s">
        <v>160</v>
      </c>
      <c r="H8" s="82" t="s">
        <v>161</v>
      </c>
      <c r="I8" s="82"/>
      <c r="J8" s="90">
        <v>7</v>
      </c>
      <c r="K8" s="90">
        <v>8</v>
      </c>
      <c r="L8" s="82">
        <v>4</v>
      </c>
      <c r="M8" s="81" t="s">
        <v>169</v>
      </c>
      <c r="N8" s="81" t="s">
        <v>170</v>
      </c>
      <c r="O8" s="81"/>
    </row>
    <row r="9" spans="1:15" ht="35.25" hidden="1" customHeight="1">
      <c r="A9" s="81"/>
      <c r="B9" s="81" t="s">
        <v>129</v>
      </c>
      <c r="C9" s="85">
        <f>C11+C37+C38+C44+C45+C46+C47</f>
        <v>4125434000000</v>
      </c>
      <c r="D9" s="85">
        <f t="shared" ref="D9:L9" si="0">D11+D37+D38+D44+D45+D46+D47</f>
        <v>2949313000000</v>
      </c>
      <c r="E9" s="85">
        <f t="shared" si="0"/>
        <v>927066249503</v>
      </c>
      <c r="F9" s="85"/>
      <c r="G9" s="85"/>
      <c r="H9" s="85"/>
      <c r="I9" s="85"/>
      <c r="J9" s="85">
        <f>J11+J37+J38+J44+J45+J46+J47</f>
        <v>2020634040814</v>
      </c>
      <c r="K9" s="85">
        <f t="shared" si="0"/>
        <v>1403536221580</v>
      </c>
      <c r="L9" s="62">
        <f t="shared" si="0"/>
        <v>2458975914184</v>
      </c>
      <c r="M9" s="6">
        <f t="shared" ref="M9:N15" si="1">(J9/C9)*100%</f>
        <v>0.48979914375408745</v>
      </c>
      <c r="N9" s="6">
        <f t="shared" si="1"/>
        <v>0.47588581530003765</v>
      </c>
      <c r="O9" s="6"/>
    </row>
    <row r="10" spans="1:15" ht="48" customHeight="1">
      <c r="A10" s="81"/>
      <c r="B10" s="81" t="s">
        <v>130</v>
      </c>
      <c r="C10" s="62">
        <f>C11+C37+C38</f>
        <v>4125434000000</v>
      </c>
      <c r="D10" s="62">
        <f>D11+D37+D38+D47</f>
        <v>2949313000000</v>
      </c>
      <c r="E10" s="62">
        <f t="shared" ref="E10:L10" si="2">E11+E37+E38</f>
        <v>927066249503</v>
      </c>
      <c r="F10" s="62">
        <f t="shared" si="2"/>
        <v>619212045633.59998</v>
      </c>
      <c r="G10" s="87">
        <f>E10/C10*100%</f>
        <v>0.22471968997758782</v>
      </c>
      <c r="H10" s="87">
        <f>F10/D10*100%</f>
        <v>0.2099512820896256</v>
      </c>
      <c r="I10" s="87">
        <f>E10/819658638061*100%</f>
        <v>1.1310394430736257</v>
      </c>
      <c r="J10" s="62">
        <f t="shared" si="2"/>
        <v>2020634040814</v>
      </c>
      <c r="K10" s="62">
        <f t="shared" si="2"/>
        <v>1403536221580</v>
      </c>
      <c r="L10" s="62">
        <f t="shared" si="2"/>
        <v>2458975914184</v>
      </c>
      <c r="M10" s="6">
        <f t="shared" si="1"/>
        <v>0.48979914375408745</v>
      </c>
      <c r="N10" s="6">
        <f t="shared" si="1"/>
        <v>0.47588581530003765</v>
      </c>
      <c r="O10" s="6">
        <f>J10/2458975914184</f>
        <v>0.82173803702527859</v>
      </c>
    </row>
    <row r="11" spans="1:15" ht="27.75" customHeight="1">
      <c r="A11" s="81" t="s">
        <v>5</v>
      </c>
      <c r="B11" s="7" t="s">
        <v>131</v>
      </c>
      <c r="C11" s="82">
        <f t="shared" ref="C11:L11" si="3">C12+C18+C20+C22+C23+C24+C26+C28+C32+C34+C29+C31+C36</f>
        <v>3227000000000</v>
      </c>
      <c r="D11" s="82">
        <f t="shared" si="3"/>
        <v>2022000000000</v>
      </c>
      <c r="E11" s="82">
        <f t="shared" si="3"/>
        <v>770096249503</v>
      </c>
      <c r="F11" s="82">
        <f t="shared" si="3"/>
        <v>462242045633.59998</v>
      </c>
      <c r="G11" s="87">
        <f t="shared" ref="G11:G39" si="4">E11/C11*100%</f>
        <v>0.23864153997613882</v>
      </c>
      <c r="H11" s="87">
        <f t="shared" ref="H11:H39" si="5">F11/D11*100%</f>
        <v>0.22860635293452025</v>
      </c>
      <c r="I11" s="87">
        <f>E11/673014971395</f>
        <v>1.1442483187361696</v>
      </c>
      <c r="J11" s="82">
        <f t="shared" si="3"/>
        <v>1570349040814</v>
      </c>
      <c r="K11" s="82">
        <f t="shared" si="3"/>
        <v>953251221580</v>
      </c>
      <c r="L11" s="86">
        <f t="shared" si="3"/>
        <v>2019044914184</v>
      </c>
      <c r="M11" s="6">
        <f t="shared" si="1"/>
        <v>0.48662815023675238</v>
      </c>
      <c r="N11" s="6">
        <f t="shared" si="1"/>
        <v>0.47143977328387737</v>
      </c>
      <c r="O11" s="6">
        <f>J11/2019044914184</f>
        <v>0.77776825556585449</v>
      </c>
    </row>
    <row r="12" spans="1:15">
      <c r="A12" s="81">
        <v>1</v>
      </c>
      <c r="B12" s="7" t="s">
        <v>53</v>
      </c>
      <c r="C12" s="82">
        <f>SUM(C13:C17)</f>
        <v>1480000000000</v>
      </c>
      <c r="D12" s="82">
        <f t="shared" ref="D12:L12" si="6">SUM(D13:D17)</f>
        <v>753000000000</v>
      </c>
      <c r="E12" s="82">
        <f t="shared" si="6"/>
        <v>371325233402</v>
      </c>
      <c r="F12" s="82">
        <f t="shared" si="6"/>
        <v>188498395332.5</v>
      </c>
      <c r="G12" s="87">
        <f t="shared" si="4"/>
        <v>0.25089542797432435</v>
      </c>
      <c r="H12" s="87">
        <f t="shared" si="5"/>
        <v>0.25032987427954845</v>
      </c>
      <c r="I12" s="87">
        <f>E12/231155685616</f>
        <v>1.6063858970739409</v>
      </c>
      <c r="J12" s="82">
        <f t="shared" si="6"/>
        <v>737095411192</v>
      </c>
      <c r="K12" s="82">
        <f t="shared" si="6"/>
        <v>373612684657</v>
      </c>
      <c r="L12" s="82">
        <f t="shared" si="6"/>
        <v>693467056849</v>
      </c>
      <c r="M12" s="6">
        <f t="shared" si="1"/>
        <v>0.4980374399945946</v>
      </c>
      <c r="N12" s="6">
        <f t="shared" si="1"/>
        <v>0.49616558387383797</v>
      </c>
      <c r="O12" s="6">
        <f>J12/693467056849</f>
        <v>1.0629133769399806</v>
      </c>
    </row>
    <row r="13" spans="1:15">
      <c r="A13" s="4"/>
      <c r="B13" s="10" t="s">
        <v>132</v>
      </c>
      <c r="C13" s="5">
        <v>1151800000000</v>
      </c>
      <c r="D13" s="5">
        <f>C13*50%</f>
        <v>575900000000</v>
      </c>
      <c r="E13" s="5">
        <f>73137817988+104303660477+83054843318</f>
        <v>260496321783</v>
      </c>
      <c r="F13" s="5">
        <f>E13*50%</f>
        <v>130248160891.5</v>
      </c>
      <c r="G13" s="87">
        <f t="shared" si="4"/>
        <v>0.22616454400329919</v>
      </c>
      <c r="H13" s="87">
        <f t="shared" si="5"/>
        <v>0.22616454400329919</v>
      </c>
      <c r="I13" s="87">
        <f>E13/175583775030</f>
        <v>1.483601327847587</v>
      </c>
      <c r="J13" s="5">
        <v>553131546768</v>
      </c>
      <c r="K13" s="5">
        <v>276565526459</v>
      </c>
      <c r="L13" s="5">
        <v>526751325089</v>
      </c>
      <c r="M13" s="6">
        <f t="shared" si="1"/>
        <v>0.48023228578572669</v>
      </c>
      <c r="N13" s="6">
        <f t="shared" si="1"/>
        <v>0.48023185702205246</v>
      </c>
      <c r="O13" s="6">
        <f>J13/526751325089</f>
        <v>1.0500809782956746</v>
      </c>
    </row>
    <row r="14" spans="1:15">
      <c r="A14" s="4"/>
      <c r="B14" s="10" t="s">
        <v>133</v>
      </c>
      <c r="C14" s="5">
        <v>300000000000</v>
      </c>
      <c r="D14" s="5">
        <f t="shared" ref="D14:D15" si="7">C14*50%</f>
        <v>150000000000</v>
      </c>
      <c r="E14" s="5">
        <f>40038392108+43447978982+21098137354</f>
        <v>104584508444</v>
      </c>
      <c r="F14" s="5">
        <f t="shared" ref="F14:F15" si="8">E14*50%</f>
        <v>52292254222</v>
      </c>
      <c r="G14" s="87">
        <f t="shared" si="4"/>
        <v>0.34861502814666667</v>
      </c>
      <c r="H14" s="87">
        <f t="shared" si="5"/>
        <v>0.34861502814666667</v>
      </c>
      <c r="I14" s="87">
        <f>E14/49825482027</f>
        <v>2.0990164909458691</v>
      </c>
      <c r="J14" s="5">
        <v>172748768062</v>
      </c>
      <c r="K14" s="5">
        <v>86373861645</v>
      </c>
      <c r="L14" s="5">
        <v>149476446082</v>
      </c>
      <c r="M14" s="6">
        <f t="shared" si="1"/>
        <v>0.57582922687333338</v>
      </c>
      <c r="N14" s="6">
        <f t="shared" si="1"/>
        <v>0.5758257443</v>
      </c>
      <c r="O14" s="6">
        <f>J14/149476446082</f>
        <v>1.1556922350644678</v>
      </c>
    </row>
    <row r="15" spans="1:15">
      <c r="A15" s="4"/>
      <c r="B15" s="10" t="s">
        <v>134</v>
      </c>
      <c r="C15" s="5">
        <v>2200000000</v>
      </c>
      <c r="D15" s="5">
        <f t="shared" si="7"/>
        <v>1100000000</v>
      </c>
      <c r="E15" s="5">
        <f>186560476+239704517+146580919</f>
        <v>572845912</v>
      </c>
      <c r="F15" s="5">
        <f t="shared" si="8"/>
        <v>286422956</v>
      </c>
      <c r="G15" s="87">
        <f t="shared" si="4"/>
        <v>0.26038450545454545</v>
      </c>
      <c r="H15" s="87">
        <f t="shared" si="5"/>
        <v>0.26038450545454545</v>
      </c>
      <c r="I15" s="87">
        <f>E15/322021079</f>
        <v>1.7789081192414737</v>
      </c>
      <c r="J15" s="5">
        <v>1037314211</v>
      </c>
      <c r="K15" s="5">
        <v>495514402</v>
      </c>
      <c r="L15" s="5">
        <v>966063238</v>
      </c>
      <c r="M15" s="6">
        <f t="shared" si="1"/>
        <v>0.47150645954545456</v>
      </c>
      <c r="N15" s="6">
        <f t="shared" si="1"/>
        <v>0.45046763818181818</v>
      </c>
      <c r="O15" s="6">
        <f>J15/966063238</f>
        <v>1.0737539430105092</v>
      </c>
    </row>
    <row r="16" spans="1:15" ht="31.5">
      <c r="A16" s="4"/>
      <c r="B16" s="9" t="s">
        <v>54</v>
      </c>
      <c r="C16" s="5"/>
      <c r="D16" s="5"/>
      <c r="E16" s="5"/>
      <c r="F16" s="5"/>
      <c r="G16" s="87"/>
      <c r="H16" s="87"/>
      <c r="I16" s="87"/>
      <c r="J16" s="5"/>
      <c r="K16" s="5"/>
      <c r="L16" s="5"/>
      <c r="M16" s="6"/>
      <c r="N16" s="6"/>
      <c r="O16" s="6"/>
    </row>
    <row r="17" spans="1:15">
      <c r="A17" s="4"/>
      <c r="B17" s="8" t="s">
        <v>55</v>
      </c>
      <c r="C17" s="5">
        <v>26000000000</v>
      </c>
      <c r="D17" s="5">
        <f>C17</f>
        <v>26000000000</v>
      </c>
      <c r="E17" s="5">
        <f>1477807143+2534710600+1659039520</f>
        <v>5671557263</v>
      </c>
      <c r="F17" s="5">
        <f>E17</f>
        <v>5671557263</v>
      </c>
      <c r="G17" s="87">
        <f t="shared" si="4"/>
        <v>0.21813681780769231</v>
      </c>
      <c r="H17" s="87">
        <f t="shared" si="5"/>
        <v>0.21813681780769231</v>
      </c>
      <c r="I17" s="87">
        <f>E17/5424407480</f>
        <v>1.0455625400398569</v>
      </c>
      <c r="J17" s="5">
        <v>10177782151</v>
      </c>
      <c r="K17" s="5">
        <f>J17</f>
        <v>10177782151</v>
      </c>
      <c r="L17" s="5">
        <v>16273222440</v>
      </c>
      <c r="M17" s="6">
        <f>(J17/C17)*100%</f>
        <v>0.39145315965384614</v>
      </c>
      <c r="N17" s="6">
        <f>(K17/D17)*100%</f>
        <v>0.39145315965384614</v>
      </c>
      <c r="O17" s="6">
        <f>J17/16273222440</f>
        <v>0.62543126836285046</v>
      </c>
    </row>
    <row r="18" spans="1:15" ht="20.25" customHeight="1">
      <c r="A18" s="81">
        <v>2</v>
      </c>
      <c r="B18" s="7" t="s">
        <v>135</v>
      </c>
      <c r="C18" s="82">
        <v>560000000000</v>
      </c>
      <c r="D18" s="82">
        <f>C18</f>
        <v>560000000000</v>
      </c>
      <c r="E18" s="82">
        <f>26458586360+19529848743+23539565752</f>
        <v>69528000855</v>
      </c>
      <c r="F18" s="82">
        <f>E18</f>
        <v>69528000855</v>
      </c>
      <c r="G18" s="87">
        <f t="shared" si="4"/>
        <v>0.12415714438392857</v>
      </c>
      <c r="H18" s="87">
        <f t="shared" si="5"/>
        <v>0.12415714438392857</v>
      </c>
      <c r="I18" s="87">
        <f>E18/109053765284</f>
        <v>0.63755708639618069</v>
      </c>
      <c r="J18" s="82">
        <v>153462129821</v>
      </c>
      <c r="K18" s="82">
        <f>J18</f>
        <v>153462129821</v>
      </c>
      <c r="L18" s="82">
        <v>327161295852</v>
      </c>
      <c r="M18" s="6">
        <f>(J18/C18)*100%</f>
        <v>0.2740395175375</v>
      </c>
      <c r="N18" s="6">
        <f>(K18/D18)*100%</f>
        <v>0.2740395175375</v>
      </c>
      <c r="O18" s="6">
        <f>J18/327161295852</f>
        <v>0.46907177519685161</v>
      </c>
    </row>
    <row r="19" spans="1:15" ht="21" customHeight="1">
      <c r="A19" s="81">
        <v>3</v>
      </c>
      <c r="B19" s="7" t="s">
        <v>56</v>
      </c>
      <c r="C19" s="82">
        <v>0</v>
      </c>
      <c r="D19" s="5"/>
      <c r="E19" s="5"/>
      <c r="F19" s="5"/>
      <c r="G19" s="87"/>
      <c r="H19" s="87"/>
      <c r="I19" s="87"/>
      <c r="J19" s="5"/>
      <c r="K19" s="5"/>
      <c r="L19" s="5"/>
      <c r="M19" s="6"/>
      <c r="N19" s="6"/>
      <c r="O19" s="6"/>
    </row>
    <row r="20" spans="1:15" ht="44.25" customHeight="1">
      <c r="A20" s="81">
        <v>4</v>
      </c>
      <c r="B20" s="7" t="s">
        <v>136</v>
      </c>
      <c r="C20" s="82">
        <v>57000000000</v>
      </c>
      <c r="D20" s="5">
        <f>C20</f>
        <v>57000000000</v>
      </c>
      <c r="E20" s="5">
        <f>26013027378+12289321845+7146740181</f>
        <v>45449089404</v>
      </c>
      <c r="F20" s="5">
        <f>E20</f>
        <v>45449089404</v>
      </c>
      <c r="G20" s="87">
        <f t="shared" si="4"/>
        <v>0.79735244568421049</v>
      </c>
      <c r="H20" s="87">
        <f t="shared" si="5"/>
        <v>0.79735244568421049</v>
      </c>
      <c r="I20" s="87">
        <f>E20/22947232403</f>
        <v>1.9805913238608341</v>
      </c>
      <c r="J20" s="5">
        <v>76076999637</v>
      </c>
      <c r="K20" s="5">
        <v>74135560435</v>
      </c>
      <c r="L20" s="5">
        <v>68841697208</v>
      </c>
      <c r="M20" s="6">
        <f>(J20/C20)*100%</f>
        <v>1.3346842041578948</v>
      </c>
      <c r="N20" s="6">
        <f>(K20/D20)*100%</f>
        <v>1.3006238672807018</v>
      </c>
      <c r="O20" s="6">
        <f>J20/68841697208</f>
        <v>1.1051005818049355</v>
      </c>
    </row>
    <row r="21" spans="1:15" ht="20.25" customHeight="1">
      <c r="A21" s="81">
        <v>5</v>
      </c>
      <c r="B21" s="7" t="s">
        <v>57</v>
      </c>
      <c r="C21" s="82">
        <v>0</v>
      </c>
      <c r="D21" s="5"/>
      <c r="E21" s="5"/>
      <c r="F21" s="5"/>
      <c r="G21" s="87"/>
      <c r="H21" s="87"/>
      <c r="I21" s="87"/>
      <c r="J21" s="5"/>
      <c r="K21" s="5"/>
      <c r="L21" s="5"/>
      <c r="M21" s="6"/>
      <c r="N21" s="6"/>
      <c r="O21" s="6"/>
    </row>
    <row r="22" spans="1:15" ht="21" customHeight="1">
      <c r="A22" s="81">
        <v>6</v>
      </c>
      <c r="B22" s="7" t="s">
        <v>137</v>
      </c>
      <c r="C22" s="82">
        <v>500000000000</v>
      </c>
      <c r="D22" s="82">
        <f>C22*50%</f>
        <v>250000000000</v>
      </c>
      <c r="E22" s="82">
        <f>31754345919+42944145418+22417838801</f>
        <v>97116330138</v>
      </c>
      <c r="F22" s="82">
        <f>E22*50%</f>
        <v>48558165069</v>
      </c>
      <c r="G22" s="87">
        <f t="shared" si="4"/>
        <v>0.194232660276</v>
      </c>
      <c r="H22" s="87">
        <f t="shared" si="5"/>
        <v>0.194232660276</v>
      </c>
      <c r="I22" s="87">
        <f>E22/96616361030</f>
        <v>1.0051747871961847</v>
      </c>
      <c r="J22" s="82">
        <v>195919293771</v>
      </c>
      <c r="K22" s="82">
        <v>95746530485</v>
      </c>
      <c r="L22" s="82">
        <v>289849083090</v>
      </c>
      <c r="M22" s="6">
        <f t="shared" ref="M22:N28" si="9">(J22/C22)*100%</f>
        <v>0.39183858754200002</v>
      </c>
      <c r="N22" s="6">
        <f t="shared" si="9"/>
        <v>0.38298612193999998</v>
      </c>
      <c r="O22" s="6">
        <f>J22/289849083090</f>
        <v>0.67593553059529876</v>
      </c>
    </row>
    <row r="23" spans="1:15" ht="21" customHeight="1">
      <c r="A23" s="81">
        <v>7</v>
      </c>
      <c r="B23" s="7" t="s">
        <v>138</v>
      </c>
      <c r="C23" s="82">
        <v>14000000000</v>
      </c>
      <c r="D23" s="82">
        <f>C23*50%</f>
        <v>7000000000</v>
      </c>
      <c r="E23" s="82">
        <f>1001570189+1160177764+1237662522</f>
        <v>3399410475</v>
      </c>
      <c r="F23" s="82">
        <f>E23*50%</f>
        <v>1699705237.5</v>
      </c>
      <c r="G23" s="87">
        <f t="shared" si="4"/>
        <v>0.24281503392857143</v>
      </c>
      <c r="H23" s="87">
        <f t="shared" si="5"/>
        <v>0.24281503392857143</v>
      </c>
      <c r="I23" s="87">
        <f>E23/2501227936</f>
        <v>1.3590966365250128</v>
      </c>
      <c r="J23" s="82">
        <v>6270311179</v>
      </c>
      <c r="K23" s="82">
        <v>1566622231</v>
      </c>
      <c r="L23" s="82">
        <v>7503683807</v>
      </c>
      <c r="M23" s="6">
        <f t="shared" si="9"/>
        <v>0.44787936992857141</v>
      </c>
      <c r="N23" s="6">
        <f t="shared" si="9"/>
        <v>0.22380317585714285</v>
      </c>
      <c r="O23" s="6">
        <f>J23/7503683807</f>
        <v>0.83563105006511373</v>
      </c>
    </row>
    <row r="24" spans="1:15" ht="19.5" customHeight="1">
      <c r="A24" s="81">
        <v>8</v>
      </c>
      <c r="B24" s="7" t="s">
        <v>58</v>
      </c>
      <c r="C24" s="82">
        <v>67000000000</v>
      </c>
      <c r="D24" s="82">
        <f>D25</f>
        <v>56000000000</v>
      </c>
      <c r="E24" s="82">
        <f>5415128698+3287119134+2936765770</f>
        <v>11639013602</v>
      </c>
      <c r="F24" s="82">
        <f>E25</f>
        <v>9174008632</v>
      </c>
      <c r="G24" s="87">
        <f t="shared" si="4"/>
        <v>0.17371662092537313</v>
      </c>
      <c r="H24" s="87">
        <f t="shared" si="5"/>
        <v>0.16382158271428571</v>
      </c>
      <c r="I24" s="87">
        <f>E24/17839644577</f>
        <v>0.65242407446871187</v>
      </c>
      <c r="J24" s="82">
        <v>51669976274</v>
      </c>
      <c r="K24" s="82">
        <f>K25</f>
        <v>48113338762</v>
      </c>
      <c r="L24" s="82">
        <v>53518933731</v>
      </c>
      <c r="M24" s="6">
        <f t="shared" si="9"/>
        <v>0.77119367573134323</v>
      </c>
      <c r="N24" s="6">
        <f t="shared" si="9"/>
        <v>0.85916676360714284</v>
      </c>
      <c r="O24" s="6">
        <f>J24/53518933731</f>
        <v>0.9654522740252387</v>
      </c>
    </row>
    <row r="25" spans="1:15" ht="31.5">
      <c r="A25" s="4"/>
      <c r="B25" s="9" t="s">
        <v>59</v>
      </c>
      <c r="C25" s="5">
        <v>56000000000</v>
      </c>
      <c r="D25" s="5">
        <f>C25</f>
        <v>56000000000</v>
      </c>
      <c r="E25" s="5">
        <f>3777530266+2777370235+2619108131</f>
        <v>9174008632</v>
      </c>
      <c r="F25" s="5">
        <f>E25</f>
        <v>9174008632</v>
      </c>
      <c r="G25" s="87">
        <f t="shared" si="4"/>
        <v>0.16382158271428571</v>
      </c>
      <c r="H25" s="87">
        <f t="shared" si="5"/>
        <v>0.16382158271428571</v>
      </c>
      <c r="I25" s="87">
        <f>E25/15981292482</f>
        <v>0.57404672634161735</v>
      </c>
      <c r="J25" s="5">
        <v>48113338762</v>
      </c>
      <c r="K25" s="5">
        <f>J25</f>
        <v>48113338762</v>
      </c>
      <c r="L25" s="5">
        <v>47943877446</v>
      </c>
      <c r="M25" s="6">
        <f t="shared" si="9"/>
        <v>0.85916676360714284</v>
      </c>
      <c r="N25" s="6">
        <f t="shared" si="9"/>
        <v>0.85916676360714284</v>
      </c>
      <c r="O25" s="6">
        <f>J25/47943877446</f>
        <v>1.0035345767807551</v>
      </c>
    </row>
    <row r="26" spans="1:15" ht="25.5" customHeight="1">
      <c r="A26" s="81">
        <v>9</v>
      </c>
      <c r="B26" s="7" t="s">
        <v>139</v>
      </c>
      <c r="C26" s="82">
        <v>450000000000</v>
      </c>
      <c r="D26" s="82">
        <f>C26*60%</f>
        <v>270000000000</v>
      </c>
      <c r="E26" s="82">
        <f>53434390726+38995891841+43361699104</f>
        <v>135791981671</v>
      </c>
      <c r="F26" s="82">
        <f>E26*60%</f>
        <v>81475189002.599991</v>
      </c>
      <c r="G26" s="87">
        <f t="shared" si="4"/>
        <v>0.30175995926888888</v>
      </c>
      <c r="H26" s="87">
        <f t="shared" si="5"/>
        <v>0.30175995926888888</v>
      </c>
      <c r="I26" s="87">
        <f>E26/170802234627</f>
        <v>0.79502461995034301</v>
      </c>
      <c r="J26" s="82">
        <v>279787054273</v>
      </c>
      <c r="K26" s="82">
        <v>167872232569</v>
      </c>
      <c r="L26" s="82">
        <v>512406703882</v>
      </c>
      <c r="M26" s="6">
        <f t="shared" si="9"/>
        <v>0.62174900949555556</v>
      </c>
      <c r="N26" s="6">
        <f t="shared" si="9"/>
        <v>0.62174900951481482</v>
      </c>
      <c r="O26" s="6">
        <f>J26/512406703882</f>
        <v>0.54602535867179247</v>
      </c>
    </row>
    <row r="27" spans="1:15" ht="31.5" hidden="1" customHeight="1">
      <c r="A27" s="4"/>
      <c r="B27" s="9" t="s">
        <v>140</v>
      </c>
      <c r="C27" s="5">
        <v>590000000000</v>
      </c>
      <c r="D27" s="5">
        <f>C27*60%</f>
        <v>354000000000</v>
      </c>
      <c r="E27" s="5"/>
      <c r="F27" s="5"/>
      <c r="G27" s="87">
        <f t="shared" si="4"/>
        <v>0</v>
      </c>
      <c r="H27" s="87">
        <f t="shared" si="5"/>
        <v>0</v>
      </c>
      <c r="I27" s="87"/>
      <c r="J27" s="5"/>
      <c r="K27" s="5"/>
      <c r="L27" s="5"/>
      <c r="M27" s="6">
        <f t="shared" si="9"/>
        <v>0</v>
      </c>
      <c r="N27" s="6">
        <f t="shared" si="9"/>
        <v>0</v>
      </c>
      <c r="O27" s="6"/>
    </row>
    <row r="28" spans="1:15" ht="19.5" customHeight="1">
      <c r="A28" s="81">
        <v>10</v>
      </c>
      <c r="B28" s="7" t="s">
        <v>60</v>
      </c>
      <c r="C28" s="82">
        <v>14000000000</v>
      </c>
      <c r="D28" s="82">
        <f>C28</f>
        <v>14000000000</v>
      </c>
      <c r="E28" s="82">
        <f>270465900+1104634172+1232076204</f>
        <v>2607176276</v>
      </c>
      <c r="F28" s="82">
        <f>E28</f>
        <v>2607176276</v>
      </c>
      <c r="G28" s="87">
        <f t="shared" si="4"/>
        <v>0.18622687685714287</v>
      </c>
      <c r="H28" s="87">
        <f t="shared" si="5"/>
        <v>0.18622687685714287</v>
      </c>
      <c r="I28" s="87">
        <f>E28/1646598226</f>
        <v>1.5833712406781131</v>
      </c>
      <c r="J28" s="82">
        <v>5611433544</v>
      </c>
      <c r="K28" s="82">
        <f>J28</f>
        <v>5611433544</v>
      </c>
      <c r="L28" s="82">
        <v>4939794679</v>
      </c>
      <c r="M28" s="6">
        <f t="shared" si="9"/>
        <v>0.40081668171428569</v>
      </c>
      <c r="N28" s="6">
        <f t="shared" si="9"/>
        <v>0.40081668171428569</v>
      </c>
      <c r="O28" s="6">
        <f>J28/4939794679</f>
        <v>1.1359649355175152</v>
      </c>
    </row>
    <row r="29" spans="1:15" ht="22.5" customHeight="1">
      <c r="A29" s="81">
        <v>11</v>
      </c>
      <c r="B29" s="7" t="s">
        <v>61</v>
      </c>
      <c r="C29" s="5">
        <v>0</v>
      </c>
      <c r="D29" s="5"/>
      <c r="E29" s="5"/>
      <c r="F29" s="5"/>
      <c r="G29" s="87"/>
      <c r="H29" s="87"/>
      <c r="I29" s="87"/>
      <c r="J29" s="5"/>
      <c r="K29" s="5"/>
      <c r="L29" s="5"/>
      <c r="M29" s="6"/>
      <c r="N29" s="6"/>
      <c r="O29" s="6"/>
    </row>
    <row r="30" spans="1:15">
      <c r="A30" s="4"/>
      <c r="B30" s="9" t="s">
        <v>62</v>
      </c>
      <c r="C30" s="5">
        <v>0</v>
      </c>
      <c r="D30" s="5"/>
      <c r="E30" s="5"/>
      <c r="F30" s="5"/>
      <c r="G30" s="87"/>
      <c r="H30" s="87"/>
      <c r="I30" s="87"/>
      <c r="J30" s="5"/>
      <c r="K30" s="5"/>
      <c r="L30" s="5"/>
      <c r="M30" s="6"/>
      <c r="N30" s="6"/>
      <c r="O30" s="6"/>
    </row>
    <row r="31" spans="1:15" ht="31.5">
      <c r="A31" s="81">
        <v>12</v>
      </c>
      <c r="B31" s="7" t="s">
        <v>63</v>
      </c>
      <c r="C31" s="5">
        <v>0</v>
      </c>
      <c r="D31" s="5"/>
      <c r="E31" s="5"/>
      <c r="F31" s="5"/>
      <c r="G31" s="87"/>
      <c r="H31" s="87"/>
      <c r="I31" s="87"/>
      <c r="J31" s="5"/>
      <c r="K31" s="5"/>
      <c r="L31" s="5"/>
      <c r="M31" s="6"/>
      <c r="N31" s="6"/>
      <c r="O31" s="6"/>
    </row>
    <row r="32" spans="1:15">
      <c r="A32" s="81">
        <v>13</v>
      </c>
      <c r="B32" s="7" t="s">
        <v>21</v>
      </c>
      <c r="C32" s="82">
        <v>85000000000</v>
      </c>
      <c r="D32" s="82">
        <f>D33</f>
        <v>55000000000</v>
      </c>
      <c r="E32" s="82">
        <f>11689739545+10686670342+10863603793</f>
        <v>33240013680</v>
      </c>
      <c r="F32" s="82">
        <f>E33</f>
        <v>15252315825</v>
      </c>
      <c r="G32" s="87">
        <f t="shared" si="4"/>
        <v>0.39105898447058823</v>
      </c>
      <c r="H32" s="87">
        <f t="shared" si="5"/>
        <v>0.27731483318181815</v>
      </c>
      <c r="I32" s="87">
        <f>E32/20452221695</f>
        <v>1.6252519738785278</v>
      </c>
      <c r="J32" s="82">
        <v>64456431123</v>
      </c>
      <c r="K32" s="82">
        <f>K33</f>
        <v>33130689076</v>
      </c>
      <c r="L32" s="82">
        <v>61356665086</v>
      </c>
      <c r="M32" s="6">
        <f>(J32/C32)*100%</f>
        <v>0.75831095438823526</v>
      </c>
      <c r="N32" s="6">
        <f>(K32/D32)*100%</f>
        <v>0.60237616501818181</v>
      </c>
      <c r="O32" s="6">
        <f>J32/61356665086</f>
        <v>1.0505204452141466</v>
      </c>
    </row>
    <row r="33" spans="1:15">
      <c r="A33" s="4"/>
      <c r="B33" s="9" t="s">
        <v>64</v>
      </c>
      <c r="C33" s="5">
        <v>55000000000</v>
      </c>
      <c r="D33" s="5">
        <f>C33</f>
        <v>55000000000</v>
      </c>
      <c r="E33" s="5">
        <f>5973567086+4590695823+4688052916</f>
        <v>15252315825</v>
      </c>
      <c r="F33" s="5">
        <f>E33</f>
        <v>15252315825</v>
      </c>
      <c r="G33" s="87">
        <f t="shared" si="4"/>
        <v>0.27731483318181815</v>
      </c>
      <c r="H33" s="87">
        <f t="shared" si="5"/>
        <v>0.27731483318181815</v>
      </c>
      <c r="I33" s="87">
        <f>E33/16778781362</f>
        <v>0.90902405222008043</v>
      </c>
      <c r="J33" s="5">
        <v>33130689076</v>
      </c>
      <c r="K33" s="5">
        <f>J33</f>
        <v>33130689076</v>
      </c>
      <c r="L33" s="5">
        <v>50336344087</v>
      </c>
      <c r="M33" s="6">
        <f>(J33/C33)*100%</f>
        <v>0.60237616501818181</v>
      </c>
      <c r="N33" s="6">
        <f>(K33/D33)*100%</f>
        <v>0.60237616501818181</v>
      </c>
      <c r="O33" s="6">
        <f>J33/50336344087</f>
        <v>0.65818624051714592</v>
      </c>
    </row>
    <row r="34" spans="1:15" ht="31.5">
      <c r="A34" s="81">
        <v>14</v>
      </c>
      <c r="B34" s="7" t="s">
        <v>65</v>
      </c>
      <c r="C34" s="82"/>
      <c r="D34" s="5"/>
      <c r="E34" s="5"/>
      <c r="F34" s="5"/>
      <c r="G34" s="87"/>
      <c r="H34" s="87"/>
      <c r="I34" s="87"/>
      <c r="J34" s="5"/>
      <c r="K34" s="5"/>
      <c r="L34" s="5"/>
      <c r="M34" s="6"/>
      <c r="N34" s="6"/>
      <c r="O34" s="6"/>
    </row>
    <row r="35" spans="1:15">
      <c r="A35" s="81">
        <v>16</v>
      </c>
      <c r="B35" s="7" t="s">
        <v>66</v>
      </c>
      <c r="C35" s="82">
        <v>0</v>
      </c>
      <c r="D35" s="5"/>
      <c r="E35" s="5"/>
      <c r="F35" s="5"/>
      <c r="G35" s="87"/>
      <c r="H35" s="87"/>
      <c r="I35" s="87"/>
      <c r="J35" s="5"/>
      <c r="K35" s="5"/>
      <c r="L35" s="5"/>
      <c r="M35" s="6"/>
      <c r="N35" s="6"/>
      <c r="O35" s="6"/>
    </row>
    <row r="36" spans="1:15" ht="31.5">
      <c r="A36" s="81">
        <v>17</v>
      </c>
      <c r="B36" s="7" t="s">
        <v>67</v>
      </c>
      <c r="C36" s="5">
        <v>0</v>
      </c>
      <c r="D36" s="5"/>
      <c r="E36" s="5"/>
      <c r="F36" s="5"/>
      <c r="G36" s="87"/>
      <c r="H36" s="87"/>
      <c r="I36" s="87"/>
      <c r="J36" s="5"/>
      <c r="K36" s="5"/>
      <c r="L36" s="5"/>
      <c r="M36" s="6"/>
      <c r="N36" s="6"/>
      <c r="O36" s="6"/>
    </row>
    <row r="37" spans="1:15">
      <c r="A37" s="81" t="s">
        <v>8</v>
      </c>
      <c r="B37" s="7" t="s">
        <v>68</v>
      </c>
      <c r="C37" s="5"/>
      <c r="D37" s="5"/>
      <c r="E37" s="5"/>
      <c r="F37" s="5"/>
      <c r="G37" s="87"/>
      <c r="H37" s="87"/>
      <c r="I37" s="87"/>
      <c r="J37" s="5"/>
      <c r="K37" s="5"/>
      <c r="L37" s="5"/>
      <c r="M37" s="6"/>
      <c r="N37" s="6"/>
      <c r="O37" s="6"/>
    </row>
    <row r="38" spans="1:15">
      <c r="A38" s="81" t="s">
        <v>9</v>
      </c>
      <c r="B38" s="7" t="s">
        <v>69</v>
      </c>
      <c r="C38" s="82">
        <f>C39+C40+C43</f>
        <v>898434000000</v>
      </c>
      <c r="D38" s="82">
        <f t="shared" ref="D38:K38" si="10">D39+D40+D43</f>
        <v>898434000000</v>
      </c>
      <c r="E38" s="82">
        <f>E39+E40</f>
        <v>156970000000</v>
      </c>
      <c r="F38" s="82">
        <f>F39+F40</f>
        <v>156970000000</v>
      </c>
      <c r="G38" s="87">
        <f t="shared" si="4"/>
        <v>0.17471511541192786</v>
      </c>
      <c r="H38" s="87">
        <f t="shared" si="5"/>
        <v>0.17471511541192786</v>
      </c>
      <c r="I38" s="87">
        <f>E38/146643666667</f>
        <v>1.0704178609803119</v>
      </c>
      <c r="J38" s="82">
        <f t="shared" si="10"/>
        <v>450285000000</v>
      </c>
      <c r="K38" s="82">
        <f t="shared" si="10"/>
        <v>450285000000</v>
      </c>
      <c r="L38" s="82">
        <v>439931000000</v>
      </c>
      <c r="M38" s="6">
        <f>(J38/C38)*100%</f>
        <v>0.50118873506568096</v>
      </c>
      <c r="N38" s="6">
        <f>(K38/D38)*100%</f>
        <v>0.50118873506568096</v>
      </c>
      <c r="O38" s="6">
        <f>J38/439931000000</f>
        <v>1.0235355089775442</v>
      </c>
    </row>
    <row r="39" spans="1:15">
      <c r="A39" s="4"/>
      <c r="B39" s="10" t="s">
        <v>70</v>
      </c>
      <c r="C39" s="5">
        <v>806824000000</v>
      </c>
      <c r="D39" s="5">
        <f>C39</f>
        <v>806824000000</v>
      </c>
      <c r="E39" s="5">
        <f>134470000000</f>
        <v>134470000000</v>
      </c>
      <c r="F39" s="5">
        <f>E39</f>
        <v>134470000000</v>
      </c>
      <c r="G39" s="87">
        <f t="shared" si="4"/>
        <v>0.16666584038154542</v>
      </c>
      <c r="H39" s="87">
        <f t="shared" si="5"/>
        <v>0.16666584038154542</v>
      </c>
      <c r="I39" s="87">
        <f>E39/111068333333</f>
        <v>1.2106961180090656</v>
      </c>
      <c r="J39" s="5">
        <v>336175000000</v>
      </c>
      <c r="K39" s="5">
        <f>J39</f>
        <v>336175000000</v>
      </c>
      <c r="L39" s="5">
        <v>333205000000</v>
      </c>
      <c r="M39" s="6">
        <f>(J39/C39)*100%</f>
        <v>0.41666460095386354</v>
      </c>
      <c r="N39" s="6">
        <f>(K39/D39)*100%</f>
        <v>0.41666460095386354</v>
      </c>
      <c r="O39" s="6">
        <f>J39/333205000000</f>
        <v>1.0089134316711934</v>
      </c>
    </row>
    <row r="40" spans="1:15">
      <c r="A40" s="4"/>
      <c r="B40" s="10" t="s">
        <v>141</v>
      </c>
      <c r="C40" s="5">
        <f>C41+C42</f>
        <v>0</v>
      </c>
      <c r="D40" s="5">
        <f t="shared" ref="D40:K40" si="11">D41+D42</f>
        <v>0</v>
      </c>
      <c r="E40" s="5">
        <v>22500000000</v>
      </c>
      <c r="F40" s="5">
        <f>E40</f>
        <v>22500000000</v>
      </c>
      <c r="G40" s="87"/>
      <c r="H40" s="87"/>
      <c r="I40" s="87"/>
      <c r="J40" s="5">
        <f>J41+J42</f>
        <v>22500000000</v>
      </c>
      <c r="K40" s="5">
        <f t="shared" si="11"/>
        <v>22500000000</v>
      </c>
      <c r="L40" s="5">
        <v>333205000000</v>
      </c>
      <c r="M40" s="6"/>
      <c r="N40" s="6"/>
      <c r="O40" s="6"/>
    </row>
    <row r="41" spans="1:15">
      <c r="A41" s="4"/>
      <c r="B41" s="10" t="s">
        <v>71</v>
      </c>
      <c r="C41" s="5"/>
      <c r="D41" s="5">
        <f>C41</f>
        <v>0</v>
      </c>
      <c r="E41" s="5"/>
      <c r="F41" s="5"/>
      <c r="G41" s="5"/>
      <c r="H41" s="5"/>
      <c r="I41" s="5"/>
      <c r="J41" s="5">
        <v>22500000000</v>
      </c>
      <c r="K41" s="5">
        <f>J41</f>
        <v>22500000000</v>
      </c>
      <c r="L41" s="5"/>
      <c r="M41" s="6"/>
      <c r="N41" s="6"/>
      <c r="O41" s="6"/>
    </row>
    <row r="42" spans="1:15">
      <c r="A42" s="4"/>
      <c r="B42" s="10" t="s">
        <v>72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  <c r="N42" s="6"/>
      <c r="O42" s="6"/>
    </row>
    <row r="43" spans="1:15">
      <c r="A43" s="81"/>
      <c r="B43" s="10" t="s">
        <v>142</v>
      </c>
      <c r="C43" s="5">
        <v>91610000000</v>
      </c>
      <c r="D43" s="5">
        <f>C43</f>
        <v>91610000000</v>
      </c>
      <c r="E43" s="5">
        <v>0</v>
      </c>
      <c r="F43" s="5">
        <v>0</v>
      </c>
      <c r="G43" s="5"/>
      <c r="H43" s="5"/>
      <c r="I43" s="5"/>
      <c r="J43" s="5">
        <v>91610000000</v>
      </c>
      <c r="K43" s="5">
        <f>J43</f>
        <v>91610000000</v>
      </c>
      <c r="L43" s="5">
        <v>106726000000</v>
      </c>
      <c r="M43" s="6">
        <f>(J43/C43)*100%</f>
        <v>1</v>
      </c>
      <c r="N43" s="6">
        <f>(K43/D43)*100%</f>
        <v>1</v>
      </c>
      <c r="O43" s="6">
        <v>0</v>
      </c>
    </row>
    <row r="44" spans="1:15" s="66" customFormat="1">
      <c r="A44" s="81" t="s">
        <v>11</v>
      </c>
      <c r="B44" s="12" t="s">
        <v>143</v>
      </c>
      <c r="C44" s="82"/>
      <c r="D44" s="82"/>
      <c r="E44" s="82"/>
      <c r="F44" s="82"/>
      <c r="G44" s="82"/>
      <c r="H44" s="82"/>
      <c r="I44" s="82"/>
      <c r="J44" s="82">
        <v>0</v>
      </c>
      <c r="K44" s="82">
        <f>J44</f>
        <v>0</v>
      </c>
      <c r="L44" s="3"/>
      <c r="M44" s="6"/>
      <c r="N44" s="6"/>
      <c r="O44" s="6"/>
    </row>
    <row r="45" spans="1:15" s="66" customFormat="1">
      <c r="A45" s="81" t="s">
        <v>45</v>
      </c>
      <c r="B45" s="12" t="s">
        <v>144</v>
      </c>
      <c r="C45" s="82"/>
      <c r="D45" s="82"/>
      <c r="E45" s="82"/>
      <c r="F45" s="82"/>
      <c r="G45" s="82"/>
      <c r="H45" s="82"/>
      <c r="I45" s="82"/>
      <c r="J45" s="82"/>
      <c r="K45" s="82"/>
      <c r="L45" s="3"/>
      <c r="M45" s="6"/>
      <c r="N45" s="6"/>
      <c r="O45" s="6"/>
    </row>
    <row r="46" spans="1:15" s="66" customFormat="1">
      <c r="A46" s="81" t="s">
        <v>145</v>
      </c>
      <c r="B46" s="12" t="s">
        <v>146</v>
      </c>
      <c r="C46" s="82"/>
      <c r="D46" s="82"/>
      <c r="E46" s="82"/>
      <c r="F46" s="82"/>
      <c r="G46" s="82"/>
      <c r="H46" s="82"/>
      <c r="I46" s="82"/>
      <c r="J46" s="82"/>
      <c r="K46" s="82"/>
      <c r="L46" s="3"/>
      <c r="M46" s="6"/>
      <c r="N46" s="6"/>
      <c r="O46" s="6"/>
    </row>
    <row r="47" spans="1:15" ht="27" customHeight="1">
      <c r="A47" s="81" t="s">
        <v>147</v>
      </c>
      <c r="B47" s="7" t="s">
        <v>73</v>
      </c>
      <c r="C47" s="82">
        <f>C48</f>
        <v>0</v>
      </c>
      <c r="D47" s="82">
        <f>D48</f>
        <v>28879000000</v>
      </c>
      <c r="E47" s="82"/>
      <c r="F47" s="82"/>
      <c r="G47" s="82"/>
      <c r="H47" s="82"/>
      <c r="I47" s="82"/>
      <c r="J47" s="82">
        <f t="shared" ref="J47:K47" si="12">J48</f>
        <v>0</v>
      </c>
      <c r="K47" s="82">
        <f t="shared" si="12"/>
        <v>0</v>
      </c>
      <c r="M47" s="6"/>
      <c r="N47" s="6"/>
      <c r="O47" s="6"/>
    </row>
    <row r="48" spans="1:15">
      <c r="A48" s="4"/>
      <c r="B48" s="10" t="s">
        <v>148</v>
      </c>
      <c r="C48" s="5">
        <v>0</v>
      </c>
      <c r="D48" s="5">
        <v>28879000000</v>
      </c>
      <c r="E48" s="5"/>
      <c r="F48" s="5"/>
      <c r="G48" s="5"/>
      <c r="H48" s="5"/>
      <c r="I48" s="5"/>
      <c r="J48" s="5"/>
      <c r="K48" s="5"/>
      <c r="M48" s="11"/>
      <c r="N48" s="11"/>
      <c r="O48" s="11"/>
    </row>
    <row r="49" spans="1:12" ht="29.25" customHeight="1">
      <c r="A49" s="13" t="s">
        <v>149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13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13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13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13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13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13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13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13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13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13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13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13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13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13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13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5">
      <c r="A65" s="13"/>
    </row>
    <row r="66" spans="1:15">
      <c r="A66" s="13"/>
    </row>
    <row r="67" spans="1:15">
      <c r="A67" s="13"/>
    </row>
    <row r="68" spans="1:15">
      <c r="A68" s="13"/>
    </row>
    <row r="69" spans="1:15">
      <c r="A69" s="13"/>
    </row>
    <row r="70" spans="1:15">
      <c r="A70" s="13"/>
      <c r="L70" s="15"/>
    </row>
    <row r="71" spans="1:15">
      <c r="A71" s="13"/>
      <c r="L71" s="15"/>
    </row>
    <row r="72" spans="1:15">
      <c r="A72" s="13"/>
    </row>
    <row r="73" spans="1:15">
      <c r="A73" s="13"/>
    </row>
    <row r="74" spans="1:15">
      <c r="A74" s="13"/>
    </row>
    <row r="75" spans="1:15" ht="110.25">
      <c r="A75" s="13"/>
      <c r="C75" s="14">
        <v>1</v>
      </c>
      <c r="D75" s="15" t="s">
        <v>74</v>
      </c>
      <c r="E75" s="15"/>
      <c r="F75" s="15"/>
      <c r="G75" s="15"/>
      <c r="H75" s="15"/>
      <c r="I75" s="15"/>
      <c r="J75" s="15"/>
      <c r="K75" s="15"/>
      <c r="M75" s="61" t="s">
        <v>75</v>
      </c>
      <c r="N75" s="61"/>
      <c r="O75" s="61"/>
    </row>
    <row r="76" spans="1:15">
      <c r="A76" s="2" t="s">
        <v>76</v>
      </c>
      <c r="C76" s="15">
        <f>SUM(C82:C88)</f>
        <v>622400</v>
      </c>
      <c r="D76" s="15">
        <f>SUM(D82:D86)</f>
        <v>762340</v>
      </c>
      <c r="E76" s="15"/>
      <c r="F76" s="15"/>
      <c r="G76" s="15"/>
      <c r="H76" s="15"/>
      <c r="I76" s="15"/>
      <c r="J76" s="15"/>
      <c r="K76" s="15"/>
      <c r="M76" s="16" t="e">
        <f>#REF!+#REF!</f>
        <v>#REF!</v>
      </c>
      <c r="N76" s="16"/>
      <c r="O76" s="16"/>
    </row>
    <row r="77" spans="1:15">
      <c r="A77" s="80"/>
    </row>
    <row r="78" spans="1:15">
      <c r="A78" s="80"/>
    </row>
    <row r="79" spans="1:15">
      <c r="A79" s="80"/>
    </row>
    <row r="80" spans="1:15">
      <c r="A80" s="80"/>
    </row>
    <row r="81" spans="3:12">
      <c r="E81" s="2"/>
      <c r="F81" s="2"/>
      <c r="G81" s="2"/>
      <c r="H81" s="2"/>
      <c r="I81" s="2"/>
      <c r="J81" s="2"/>
      <c r="K81" s="2"/>
      <c r="L81" s="2"/>
    </row>
    <row r="82" spans="3:12">
      <c r="C82" s="3">
        <v>10000</v>
      </c>
      <c r="D82" s="3">
        <v>495850</v>
      </c>
      <c r="E82" s="2"/>
      <c r="F82" s="2"/>
      <c r="G82" s="2"/>
      <c r="H82" s="2"/>
      <c r="I82" s="2"/>
      <c r="J82" s="2"/>
      <c r="K82" s="2"/>
      <c r="L82" s="2"/>
    </row>
    <row r="83" spans="3:12">
      <c r="C83" s="3">
        <v>440000</v>
      </c>
      <c r="D83" s="3">
        <v>108100</v>
      </c>
      <c r="E83" s="2"/>
      <c r="F83" s="2"/>
      <c r="G83" s="2"/>
      <c r="H83" s="2"/>
      <c r="I83" s="2"/>
      <c r="J83" s="2"/>
      <c r="K83" s="2"/>
      <c r="L83" s="2"/>
    </row>
    <row r="84" spans="3:12">
      <c r="C84" s="3">
        <v>60000</v>
      </c>
      <c r="D84" s="3">
        <v>2350</v>
      </c>
      <c r="E84" s="2"/>
      <c r="F84" s="2"/>
      <c r="G84" s="2"/>
      <c r="H84" s="2"/>
      <c r="I84" s="2"/>
      <c r="J84" s="2"/>
      <c r="K84" s="2"/>
      <c r="L84" s="2"/>
    </row>
    <row r="85" spans="3:12">
      <c r="C85" s="3">
        <v>41400</v>
      </c>
      <c r="D85" s="3">
        <v>150400</v>
      </c>
      <c r="E85" s="2"/>
      <c r="F85" s="2"/>
      <c r="G85" s="2"/>
      <c r="H85" s="2"/>
      <c r="I85" s="2"/>
      <c r="J85" s="2"/>
      <c r="K85" s="2"/>
      <c r="L85" s="2"/>
    </row>
    <row r="86" spans="3:12">
      <c r="C86" s="3">
        <v>15000</v>
      </c>
      <c r="D86" s="3">
        <v>5640</v>
      </c>
      <c r="E86" s="2"/>
      <c r="F86" s="2"/>
      <c r="G86" s="2"/>
      <c r="H86" s="2"/>
      <c r="I86" s="2"/>
      <c r="J86" s="2"/>
      <c r="K86" s="2"/>
      <c r="L86" s="2"/>
    </row>
    <row r="87" spans="3:12">
      <c r="C87" s="3">
        <v>5000</v>
      </c>
      <c r="E87" s="2"/>
      <c r="F87" s="2"/>
      <c r="G87" s="2"/>
      <c r="H87" s="2"/>
      <c r="I87" s="2"/>
      <c r="J87" s="2"/>
      <c r="K87" s="2"/>
      <c r="L87" s="2"/>
    </row>
    <row r="88" spans="3:12">
      <c r="C88" s="3">
        <v>51000</v>
      </c>
      <c r="E88" s="2"/>
      <c r="F88" s="2"/>
      <c r="G88" s="2"/>
      <c r="H88" s="2"/>
      <c r="I88" s="2"/>
      <c r="J88" s="2"/>
      <c r="K88" s="2"/>
      <c r="L88" s="2"/>
    </row>
    <row r="89" spans="3:12">
      <c r="E89" s="2"/>
      <c r="F89" s="2"/>
      <c r="G89" s="2"/>
      <c r="H89" s="2"/>
      <c r="I89" s="2"/>
      <c r="J89" s="2"/>
      <c r="K89" s="2"/>
      <c r="L89" s="2"/>
    </row>
    <row r="91" spans="3:12">
      <c r="E91" s="2"/>
      <c r="F91" s="2"/>
      <c r="G91" s="2"/>
      <c r="H91" s="2"/>
      <c r="I91" s="2"/>
      <c r="J91" s="2"/>
      <c r="K91" s="2"/>
      <c r="L91" s="2"/>
    </row>
    <row r="92" spans="3:12">
      <c r="E92" s="2"/>
      <c r="F92" s="2"/>
      <c r="G92" s="2"/>
      <c r="H92" s="2"/>
      <c r="I92" s="2"/>
      <c r="J92" s="2"/>
      <c r="K92" s="2"/>
      <c r="L92" s="2"/>
    </row>
    <row r="93" spans="3:12">
      <c r="E93" s="2"/>
      <c r="F93" s="2"/>
      <c r="G93" s="2"/>
      <c r="H93" s="2"/>
      <c r="I93" s="2"/>
      <c r="J93" s="2"/>
      <c r="K93" s="2"/>
      <c r="L93" s="2"/>
    </row>
    <row r="94" spans="3:12">
      <c r="E94" s="2"/>
      <c r="F94" s="2"/>
      <c r="G94" s="2"/>
      <c r="H94" s="2"/>
      <c r="I94" s="2"/>
      <c r="J94" s="2"/>
      <c r="K94" s="2"/>
      <c r="L94" s="2"/>
    </row>
    <row r="95" spans="3:12">
      <c r="E95" s="2"/>
      <c r="F95" s="2"/>
      <c r="G95" s="2"/>
      <c r="H95" s="2"/>
      <c r="I95" s="2"/>
      <c r="J95" s="2"/>
      <c r="K95" s="2"/>
      <c r="L95" s="2"/>
    </row>
    <row r="96" spans="3:12">
      <c r="E96" s="2"/>
      <c r="F96" s="2"/>
      <c r="G96" s="2"/>
      <c r="H96" s="2"/>
      <c r="I96" s="2"/>
      <c r="J96" s="2"/>
      <c r="K96" s="2"/>
      <c r="L96" s="2"/>
    </row>
    <row r="97" s="2" customFormat="1"/>
  </sheetData>
  <mergeCells count="8">
    <mergeCell ref="A4:N4"/>
    <mergeCell ref="C1:M1"/>
    <mergeCell ref="C2:M2"/>
    <mergeCell ref="A6:A7"/>
    <mergeCell ref="B6:B7"/>
    <mergeCell ref="C6:D6"/>
    <mergeCell ref="E6:K6"/>
    <mergeCell ref="M6:O6"/>
  </mergeCells>
  <pageMargins left="0.7" right="0.7" top="0.75" bottom="0.75" header="0.3" footer="0.3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70"/>
  <sheetViews>
    <sheetView tabSelected="1" topLeftCell="A39" workbookViewId="0">
      <selection activeCell="C56" sqref="C56"/>
    </sheetView>
  </sheetViews>
  <sheetFormatPr defaultRowHeight="15.75"/>
  <cols>
    <col min="1" max="1" width="5.875" customWidth="1"/>
    <col min="2" max="2" width="43.75" customWidth="1"/>
    <col min="3" max="3" width="19.25" style="1" customWidth="1"/>
    <col min="4" max="4" width="17" customWidth="1"/>
    <col min="5" max="5" width="17.125" customWidth="1"/>
    <col min="6" max="6" width="7.25" customWidth="1"/>
    <col min="7" max="7" width="8.125" style="96" customWidth="1"/>
    <col min="8" max="8" width="7.125" style="99" customWidth="1"/>
    <col min="9" max="9" width="18.125" customWidth="1"/>
    <col min="10" max="10" width="7.625" style="101" customWidth="1"/>
    <col min="11" max="11" width="7.75" customWidth="1"/>
    <col min="12" max="12" width="7" style="133" customWidth="1"/>
    <col min="13" max="13" width="15.75" customWidth="1"/>
    <col min="14" max="14" width="15.625" hidden="1" customWidth="1"/>
  </cols>
  <sheetData>
    <row r="1" spans="1:14" ht="22.5" customHeight="1">
      <c r="A1" s="239" t="s">
        <v>28</v>
      </c>
      <c r="B1" s="239"/>
      <c r="C1" s="17"/>
      <c r="D1" s="225" t="s">
        <v>12</v>
      </c>
      <c r="E1" s="225"/>
      <c r="F1" s="225"/>
      <c r="G1" s="225"/>
      <c r="H1" s="225"/>
      <c r="I1" s="225"/>
      <c r="J1" s="225"/>
      <c r="K1" s="225"/>
    </row>
    <row r="2" spans="1:14" ht="20.25" customHeight="1">
      <c r="A2" s="240" t="s">
        <v>29</v>
      </c>
      <c r="B2" s="240"/>
      <c r="C2" s="18"/>
      <c r="D2" s="241" t="s">
        <v>50</v>
      </c>
      <c r="E2" s="241"/>
      <c r="F2" s="241"/>
      <c r="G2" s="241"/>
      <c r="H2" s="241"/>
      <c r="I2" s="241"/>
      <c r="J2" s="241"/>
      <c r="K2" s="241"/>
    </row>
    <row r="3" spans="1:14" ht="17.25" customHeight="1">
      <c r="G3" s="99"/>
      <c r="J3" s="99"/>
    </row>
    <row r="4" spans="1:14" ht="28.5" customHeight="1">
      <c r="A4" s="242" t="s">
        <v>159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4" ht="16.5" customHeight="1">
      <c r="A5" s="242"/>
      <c r="B5" s="242"/>
      <c r="C5" s="242"/>
      <c r="D5" s="242"/>
      <c r="G5" s="99"/>
      <c r="I5" s="1"/>
      <c r="J5" s="139"/>
      <c r="M5" s="19"/>
    </row>
    <row r="6" spans="1:14" ht="22.5" customHeight="1">
      <c r="D6" s="19"/>
      <c r="E6" s="19"/>
      <c r="G6" s="98"/>
      <c r="I6" s="67"/>
      <c r="J6" s="138"/>
    </row>
    <row r="7" spans="1:14" s="20" customFormat="1" ht="26.25" customHeight="1">
      <c r="A7" s="245" t="s">
        <v>0</v>
      </c>
      <c r="B7" s="247" t="s">
        <v>77</v>
      </c>
      <c r="C7" s="252" t="s">
        <v>150</v>
      </c>
      <c r="D7" s="243" t="s">
        <v>151</v>
      </c>
      <c r="E7" s="237" t="s">
        <v>171</v>
      </c>
      <c r="F7" s="243" t="s">
        <v>78</v>
      </c>
      <c r="G7" s="249" t="s">
        <v>152</v>
      </c>
      <c r="H7" s="235" t="s">
        <v>156</v>
      </c>
      <c r="I7" s="237" t="s">
        <v>172</v>
      </c>
      <c r="J7" s="250" t="s">
        <v>78</v>
      </c>
      <c r="K7" s="243" t="s">
        <v>152</v>
      </c>
      <c r="L7" s="235" t="s">
        <v>156</v>
      </c>
      <c r="N7" s="237" t="s">
        <v>158</v>
      </c>
    </row>
    <row r="8" spans="1:14" s="20" customFormat="1" ht="43.5" customHeight="1">
      <c r="A8" s="246"/>
      <c r="B8" s="248"/>
      <c r="C8" s="253"/>
      <c r="D8" s="244"/>
      <c r="E8" s="238"/>
      <c r="F8" s="244"/>
      <c r="G8" s="249"/>
      <c r="H8" s="236"/>
      <c r="I8" s="238"/>
      <c r="J8" s="251"/>
      <c r="K8" s="244"/>
      <c r="L8" s="236"/>
      <c r="N8" s="238"/>
    </row>
    <row r="9" spans="1:14" s="20" customFormat="1" ht="30" customHeight="1">
      <c r="A9" s="21"/>
      <c r="B9" s="22" t="s">
        <v>79</v>
      </c>
      <c r="C9" s="68">
        <f>C10+C56+C57+C58</f>
        <v>2949313000000</v>
      </c>
      <c r="D9" s="68">
        <f>D10+D56+D57+D58</f>
        <v>3203887000000</v>
      </c>
      <c r="E9" s="68">
        <f>E10+E52+E56</f>
        <v>593751430808</v>
      </c>
      <c r="F9" s="94">
        <f t="shared" ref="F9:F15" si="0">E9/C9*100%</f>
        <v>0.20131855479835473</v>
      </c>
      <c r="G9" s="97">
        <f t="shared" ref="G9:G32" si="1">E9/D9*100%</f>
        <v>0.18532221355122699</v>
      </c>
      <c r="H9" s="93">
        <f>E9/671019711922</f>
        <v>0.88484946158633604</v>
      </c>
      <c r="I9" s="68">
        <f>I10+I52+I56+I58</f>
        <v>1225280582241</v>
      </c>
      <c r="J9" s="110">
        <f t="shared" ref="J9:J15" si="2">I9/C9*100%</f>
        <v>0.4154460995631864</v>
      </c>
      <c r="K9" s="24">
        <f t="shared" ref="K9:K32" si="3">I9/D9*100%</f>
        <v>0.38243564215623083</v>
      </c>
      <c r="L9" s="24">
        <f>I9/2013059135766</f>
        <v>0.60866596538147</v>
      </c>
      <c r="N9" s="23" t="e">
        <f>N10+N52+N56+#REF!+#REF!+N61+N58</f>
        <v>#REF!</v>
      </c>
    </row>
    <row r="10" spans="1:14" s="29" customFormat="1" ht="26.25" customHeight="1">
      <c r="A10" s="26" t="s">
        <v>1</v>
      </c>
      <c r="B10" s="27" t="s">
        <v>80</v>
      </c>
      <c r="C10" s="69">
        <f>C11+C18+C45+C46+C47+C48+C51</f>
        <v>2949313000000</v>
      </c>
      <c r="D10" s="69">
        <f>D11+D18+D45+D46+D47+D48+D51</f>
        <v>3203887000000</v>
      </c>
      <c r="E10" s="69">
        <f>E11+E18+E45+E46</f>
        <v>563625869393</v>
      </c>
      <c r="F10" s="95">
        <f t="shared" si="0"/>
        <v>0.19110412133028945</v>
      </c>
      <c r="G10" s="97">
        <f t="shared" si="1"/>
        <v>0.17591939709265653</v>
      </c>
      <c r="H10" s="93">
        <f>E10/393250316111</f>
        <v>1.4332496282950458</v>
      </c>
      <c r="I10" s="69">
        <f>I11+I18+I45+I46</f>
        <v>997331052320</v>
      </c>
      <c r="J10" s="110">
        <f t="shared" si="2"/>
        <v>0.3381570732980867</v>
      </c>
      <c r="K10" s="24">
        <f t="shared" si="3"/>
        <v>0.31128783640621532</v>
      </c>
      <c r="L10" s="130">
        <f>I10/1179750948332</f>
        <v>0.84537423235818054</v>
      </c>
      <c r="N10" s="69">
        <f t="shared" ref="N10" si="4">N11+N18+N45+N47+N46</f>
        <v>569953922630</v>
      </c>
    </row>
    <row r="11" spans="1:14" s="20" customFormat="1" ht="26.25" hidden="1" customHeight="1">
      <c r="A11" s="21" t="s">
        <v>5</v>
      </c>
      <c r="B11" s="21" t="s">
        <v>81</v>
      </c>
      <c r="C11" s="102">
        <f>SUM(C13:C15)</f>
        <v>600867000000</v>
      </c>
      <c r="D11" s="68">
        <f>D12</f>
        <v>855441000000</v>
      </c>
      <c r="E11" s="68">
        <f>E12</f>
        <v>103154000000</v>
      </c>
      <c r="F11" s="104">
        <f t="shared" si="0"/>
        <v>0.17167526257890681</v>
      </c>
      <c r="G11" s="105">
        <f t="shared" si="1"/>
        <v>0.12058575635257136</v>
      </c>
      <c r="H11" s="93">
        <f>E11/101899809589</f>
        <v>1.012308074137318</v>
      </c>
      <c r="I11" s="103">
        <f>I12+I17</f>
        <v>140672000000</v>
      </c>
      <c r="J11" s="93">
        <f t="shared" si="2"/>
        <v>0.23411503710471701</v>
      </c>
      <c r="K11" s="24">
        <f t="shared" si="3"/>
        <v>0.16444383657084474</v>
      </c>
      <c r="L11" s="131">
        <v>0.46</v>
      </c>
      <c r="M11" s="25"/>
      <c r="N11" s="30">
        <f t="shared" ref="N11" si="5">N12</f>
        <v>134488000000</v>
      </c>
    </row>
    <row r="12" spans="1:14" s="20" customFormat="1" ht="26.25" customHeight="1">
      <c r="A12" s="141">
        <v>1</v>
      </c>
      <c r="B12" s="142" t="s">
        <v>82</v>
      </c>
      <c r="C12" s="143">
        <f>SUM(C13:C15)</f>
        <v>600867000000</v>
      </c>
      <c r="D12" s="143">
        <f>SUM(D13:D16)</f>
        <v>855441000000</v>
      </c>
      <c r="E12" s="143">
        <f>SUM(E13:E16)</f>
        <v>103154000000</v>
      </c>
      <c r="F12" s="110">
        <f t="shared" si="0"/>
        <v>0.17167526257890681</v>
      </c>
      <c r="G12" s="110">
        <f t="shared" si="1"/>
        <v>0.12058575635257136</v>
      </c>
      <c r="H12" s="110">
        <f>E12/101899809589</f>
        <v>1.012308074137318</v>
      </c>
      <c r="I12" s="34">
        <f>SUM(I13:I16)</f>
        <v>140672000000</v>
      </c>
      <c r="J12" s="110">
        <f t="shared" si="2"/>
        <v>0.23411503710471701</v>
      </c>
      <c r="K12" s="24">
        <f t="shared" si="3"/>
        <v>0.16444383657084474</v>
      </c>
      <c r="L12" s="130">
        <v>0.36</v>
      </c>
      <c r="N12" s="30">
        <f>SUM(N13:N15)</f>
        <v>134488000000</v>
      </c>
    </row>
    <row r="13" spans="1:14" s="20" customFormat="1" ht="26.25" customHeight="1">
      <c r="A13" s="140"/>
      <c r="B13" s="144" t="s">
        <v>83</v>
      </c>
      <c r="C13" s="145">
        <v>239257000000</v>
      </c>
      <c r="D13" s="145">
        <v>239257000000</v>
      </c>
      <c r="E13" s="38">
        <f>10885000000+5792000000</f>
        <v>16677000000</v>
      </c>
      <c r="F13" s="109">
        <f t="shared" si="0"/>
        <v>6.9703289767906476E-2</v>
      </c>
      <c r="G13" s="109">
        <f t="shared" si="1"/>
        <v>6.9703289767906476E-2</v>
      </c>
      <c r="H13" s="109">
        <f>E13/36838456774</f>
        <v>0.45270626026251898</v>
      </c>
      <c r="I13" s="38">
        <v>40139000000</v>
      </c>
      <c r="J13" s="109">
        <f t="shared" si="2"/>
        <v>0.16776520645163986</v>
      </c>
      <c r="K13" s="136">
        <f t="shared" si="3"/>
        <v>0.16776520645163986</v>
      </c>
      <c r="L13" s="131">
        <v>0.2</v>
      </c>
      <c r="M13" s="25"/>
      <c r="N13" s="31">
        <v>78561000000</v>
      </c>
    </row>
    <row r="14" spans="1:14" s="20" customFormat="1" ht="26.25" customHeight="1">
      <c r="A14" s="107"/>
      <c r="B14" s="146" t="s">
        <v>84</v>
      </c>
      <c r="C14" s="147">
        <v>270000000000</v>
      </c>
      <c r="D14" s="147">
        <v>284554000000</v>
      </c>
      <c r="E14" s="39">
        <f>4148000000+8449000000+8507000000</f>
        <v>21104000000</v>
      </c>
      <c r="F14" s="95">
        <f t="shared" si="0"/>
        <v>7.8162962962962962E-2</v>
      </c>
      <c r="G14" s="95">
        <f t="shared" si="1"/>
        <v>7.4165184815535898E-2</v>
      </c>
      <c r="H14" s="95">
        <f>E14/51790370426</f>
        <v>0.4074888792339143</v>
      </c>
      <c r="I14" s="39">
        <v>31665000000</v>
      </c>
      <c r="J14" s="95">
        <f t="shared" si="2"/>
        <v>0.11727777777777777</v>
      </c>
      <c r="K14" s="24">
        <f t="shared" si="3"/>
        <v>0.1112794056664113</v>
      </c>
      <c r="L14" s="131">
        <v>0.21</v>
      </c>
      <c r="N14" s="31">
        <v>52225000000</v>
      </c>
    </row>
    <row r="15" spans="1:14" s="20" customFormat="1" ht="26.25" customHeight="1">
      <c r="A15" s="107"/>
      <c r="B15" s="146" t="s">
        <v>85</v>
      </c>
      <c r="C15" s="147">
        <v>91610000000</v>
      </c>
      <c r="D15" s="147">
        <v>93943000000</v>
      </c>
      <c r="E15" s="39">
        <f>582000000+3398000000+904000000</f>
        <v>4884000000</v>
      </c>
      <c r="F15" s="95">
        <f t="shared" si="0"/>
        <v>5.3312957100753192E-2</v>
      </c>
      <c r="G15" s="95">
        <f t="shared" si="1"/>
        <v>5.1988972036234739E-2</v>
      </c>
      <c r="H15" s="95">
        <f>E15/13270982389</f>
        <v>0.36802098419241597</v>
      </c>
      <c r="I15" s="39">
        <v>8379000000</v>
      </c>
      <c r="J15" s="95">
        <f t="shared" si="2"/>
        <v>9.1463813994105442E-2</v>
      </c>
      <c r="K15" s="24">
        <f t="shared" si="3"/>
        <v>8.9192382614989935E-2</v>
      </c>
      <c r="L15" s="131">
        <v>0</v>
      </c>
      <c r="M15" s="70"/>
      <c r="N15" s="31">
        <v>3702000000</v>
      </c>
    </row>
    <row r="16" spans="1:14" s="20" customFormat="1" ht="26.25" customHeight="1">
      <c r="A16" s="107"/>
      <c r="B16" s="148" t="s">
        <v>173</v>
      </c>
      <c r="C16" s="147">
        <v>0</v>
      </c>
      <c r="D16" s="147">
        <v>237687000000</v>
      </c>
      <c r="E16" s="39">
        <f>45215000000+15274000000</f>
        <v>60489000000</v>
      </c>
      <c r="F16" s="95"/>
      <c r="G16" s="95">
        <f t="shared" si="1"/>
        <v>0.25449014880914816</v>
      </c>
      <c r="H16" s="95">
        <v>0</v>
      </c>
      <c r="I16" s="39">
        <v>60489000000</v>
      </c>
      <c r="J16" s="95">
        <v>0</v>
      </c>
      <c r="K16" s="24">
        <f t="shared" si="3"/>
        <v>0.25449014880914816</v>
      </c>
      <c r="L16" s="131">
        <v>0</v>
      </c>
      <c r="M16" s="70"/>
      <c r="N16" s="31"/>
    </row>
    <row r="17" spans="1:14" s="20" customFormat="1" ht="26.25" hidden="1" customHeight="1">
      <c r="A17" s="126">
        <v>1</v>
      </c>
      <c r="B17" s="149" t="s">
        <v>157</v>
      </c>
      <c r="C17" s="150"/>
      <c r="D17" s="112"/>
      <c r="E17" s="127"/>
      <c r="F17" s="104" t="e">
        <f>E17/C17*100%</f>
        <v>#DIV/0!</v>
      </c>
      <c r="G17" s="104" t="e">
        <f t="shared" si="1"/>
        <v>#DIV/0!</v>
      </c>
      <c r="H17" s="104"/>
      <c r="I17" s="127">
        <v>0</v>
      </c>
      <c r="J17" s="104" t="e">
        <f>I17/C17*100%</f>
        <v>#DIV/0!</v>
      </c>
      <c r="K17" s="24" t="e">
        <f t="shared" si="3"/>
        <v>#DIV/0!</v>
      </c>
      <c r="L17" s="130"/>
      <c r="N17" s="32"/>
    </row>
    <row r="18" spans="1:14" s="20" customFormat="1" ht="26.25" customHeight="1">
      <c r="A18" s="33" t="s">
        <v>8</v>
      </c>
      <c r="B18" s="142" t="s">
        <v>86</v>
      </c>
      <c r="C18" s="143">
        <v>2289246000000</v>
      </c>
      <c r="D18" s="35">
        <f>D19+D32</f>
        <v>2277363000000</v>
      </c>
      <c r="E18" s="35">
        <f>E19+E32</f>
        <v>460471869393</v>
      </c>
      <c r="F18" s="110">
        <f>E18/C18*100%</f>
        <v>0.20114564769054963</v>
      </c>
      <c r="G18" s="110">
        <f t="shared" si="1"/>
        <v>0.20219520093766344</v>
      </c>
      <c r="H18" s="110">
        <f>E18/287683839855</f>
        <v>1.6006177810512039</v>
      </c>
      <c r="I18" s="28">
        <f t="shared" ref="I18" si="6">I19+I32</f>
        <v>846659052320</v>
      </c>
      <c r="J18" s="110">
        <f>I18/C18*100%</f>
        <v>0.3698418834498346</v>
      </c>
      <c r="K18" s="24">
        <f t="shared" si="3"/>
        <v>0.37177167290414398</v>
      </c>
      <c r="L18" s="130">
        <v>0.98</v>
      </c>
      <c r="M18" s="1"/>
      <c r="N18" s="28">
        <f t="shared" ref="N18" si="7">N19+N32</f>
        <v>424465922630</v>
      </c>
    </row>
    <row r="19" spans="1:14" s="20" customFormat="1" ht="26.25" customHeight="1">
      <c r="A19" s="33" t="s">
        <v>87</v>
      </c>
      <c r="B19" s="142" t="s">
        <v>88</v>
      </c>
      <c r="C19" s="143"/>
      <c r="D19" s="35">
        <f>SUM(D20:D31)</f>
        <v>2004978000000</v>
      </c>
      <c r="E19" s="35">
        <f>SUM(E20:E31)</f>
        <v>399260657580</v>
      </c>
      <c r="F19" s="110"/>
      <c r="G19" s="110">
        <f t="shared" si="1"/>
        <v>0.19913468256509548</v>
      </c>
      <c r="H19" s="110">
        <f>E19/251419580877</f>
        <v>1.5880253088773031</v>
      </c>
      <c r="I19" s="28">
        <f t="shared" ref="I19" si="8">SUM(I20:I31)</f>
        <v>731862982790</v>
      </c>
      <c r="J19" s="110"/>
      <c r="K19" s="24">
        <f t="shared" si="3"/>
        <v>0.36502294927425638</v>
      </c>
      <c r="L19" s="132">
        <v>0.97</v>
      </c>
      <c r="M19" s="1"/>
      <c r="N19" s="28">
        <f t="shared" ref="N19" si="9">SUM(N20:N31)</f>
        <v>377732607000</v>
      </c>
    </row>
    <row r="20" spans="1:14" s="20" customFormat="1" ht="26.25" customHeight="1">
      <c r="A20" s="128">
        <v>1</v>
      </c>
      <c r="B20" s="144" t="s">
        <v>89</v>
      </c>
      <c r="C20" s="145"/>
      <c r="D20" s="129">
        <v>7700000000</v>
      </c>
      <c r="E20" s="39">
        <f>1130579228+723147740+722621367</f>
        <v>2576348335</v>
      </c>
      <c r="F20" s="109"/>
      <c r="G20" s="109">
        <f t="shared" si="1"/>
        <v>0.33459069285714288</v>
      </c>
      <c r="H20" s="109">
        <f>E20/1296648993</f>
        <v>1.9869281115463759</v>
      </c>
      <c r="I20" s="38">
        <v>2838657263</v>
      </c>
      <c r="J20" s="109"/>
      <c r="K20" s="24">
        <f t="shared" si="3"/>
        <v>0.36865678740259739</v>
      </c>
      <c r="L20" s="132">
        <v>0.73</v>
      </c>
      <c r="N20" s="37">
        <v>10912000</v>
      </c>
    </row>
    <row r="21" spans="1:14" s="20" customFormat="1" ht="26.25" customHeight="1">
      <c r="A21" s="108">
        <v>2</v>
      </c>
      <c r="B21" s="146" t="s">
        <v>24</v>
      </c>
      <c r="C21" s="147"/>
      <c r="D21" s="59">
        <v>16493000000</v>
      </c>
      <c r="E21" s="40">
        <f>2980898587+778070774+2240284210</f>
        <v>5999253571</v>
      </c>
      <c r="F21" s="95"/>
      <c r="G21" s="95">
        <f t="shared" si="1"/>
        <v>0.36374544176317225</v>
      </c>
      <c r="H21" s="95">
        <f>E21/2279711983</f>
        <v>2.6315839964596091</v>
      </c>
      <c r="I21" s="39">
        <v>9738510597</v>
      </c>
      <c r="J21" s="95"/>
      <c r="K21" s="24">
        <f t="shared" si="3"/>
        <v>0.59046326302067542</v>
      </c>
      <c r="L21" s="132">
        <v>1.42</v>
      </c>
      <c r="M21" s="70"/>
      <c r="N21" s="39">
        <v>3334023769</v>
      </c>
    </row>
    <row r="22" spans="1:14" s="20" customFormat="1" ht="26.25" customHeight="1">
      <c r="A22" s="108">
        <v>3</v>
      </c>
      <c r="B22" s="48" t="s">
        <v>90</v>
      </c>
      <c r="C22" s="151">
        <v>1027292000000</v>
      </c>
      <c r="D22" s="59">
        <v>1034092000000</v>
      </c>
      <c r="E22" s="40">
        <f>86859466166+78194579950+75037721954</f>
        <v>240091768070</v>
      </c>
      <c r="F22" s="95">
        <f>E22/C22*100%</f>
        <v>0.23371326562457412</v>
      </c>
      <c r="G22" s="95">
        <f t="shared" si="1"/>
        <v>0.23217640990356758</v>
      </c>
      <c r="H22" s="95">
        <f>E22/138946427090</f>
        <v>1.7279448856535544</v>
      </c>
      <c r="I22" s="40">
        <v>459748387760</v>
      </c>
      <c r="J22" s="95">
        <f>I22/C22*100%</f>
        <v>0.44753428213205204</v>
      </c>
      <c r="K22" s="24">
        <f t="shared" si="3"/>
        <v>0.4445913784846996</v>
      </c>
      <c r="L22" s="132">
        <v>1.1000000000000001</v>
      </c>
      <c r="N22" s="40">
        <v>207927861514</v>
      </c>
    </row>
    <row r="23" spans="1:14" s="20" customFormat="1" ht="26.25" customHeight="1">
      <c r="A23" s="108">
        <v>4</v>
      </c>
      <c r="B23" s="48" t="s">
        <v>91</v>
      </c>
      <c r="C23" s="151"/>
      <c r="D23" s="59">
        <v>54007000000</v>
      </c>
      <c r="E23" s="40">
        <f>256595100+68799675+648260000</f>
        <v>973654775</v>
      </c>
      <c r="F23" s="95"/>
      <c r="G23" s="95">
        <f t="shared" si="1"/>
        <v>1.802830697872498E-2</v>
      </c>
      <c r="H23" s="95">
        <f>E23/17032637680</f>
        <v>5.7164063094190115E-2</v>
      </c>
      <c r="I23" s="40">
        <v>973654775</v>
      </c>
      <c r="J23" s="95"/>
      <c r="K23" s="24">
        <f t="shared" si="3"/>
        <v>1.802830697872498E-2</v>
      </c>
      <c r="L23" s="132">
        <v>0.02</v>
      </c>
      <c r="N23" s="40">
        <v>29227127641</v>
      </c>
    </row>
    <row r="24" spans="1:14" s="20" customFormat="1" ht="26.25" customHeight="1">
      <c r="A24" s="108">
        <v>5</v>
      </c>
      <c r="B24" s="48" t="s">
        <v>92</v>
      </c>
      <c r="C24" s="151"/>
      <c r="D24" s="59">
        <v>29294000000</v>
      </c>
      <c r="E24" s="40">
        <f>8696462965+524277877+460578484</f>
        <v>9681319326</v>
      </c>
      <c r="F24" s="95"/>
      <c r="G24" s="95">
        <f t="shared" si="1"/>
        <v>0.33048813156277734</v>
      </c>
      <c r="H24" s="95">
        <f>E24/1412985985</f>
        <v>6.8516739930721959</v>
      </c>
      <c r="I24" s="40">
        <v>13294615658</v>
      </c>
      <c r="J24" s="95"/>
      <c r="K24" s="24">
        <f t="shared" si="3"/>
        <v>0.45383408404451425</v>
      </c>
      <c r="L24" s="132">
        <v>3.14</v>
      </c>
      <c r="N24" s="40">
        <v>1732550829</v>
      </c>
    </row>
    <row r="25" spans="1:14" s="20" customFormat="1" ht="26.25" customHeight="1">
      <c r="A25" s="108">
        <v>6</v>
      </c>
      <c r="B25" s="48" t="s">
        <v>93</v>
      </c>
      <c r="C25" s="151"/>
      <c r="D25" s="59">
        <v>13086000000</v>
      </c>
      <c r="E25" s="40">
        <f>94699886+77433849+96523950</f>
        <v>268657685</v>
      </c>
      <c r="F25" s="95"/>
      <c r="G25" s="95">
        <f t="shared" si="1"/>
        <v>2.0530160858933211E-2</v>
      </c>
      <c r="H25" s="95">
        <f>E25/194364065</f>
        <v>1.3822394844437937</v>
      </c>
      <c r="I25" s="40">
        <v>518628319</v>
      </c>
      <c r="J25" s="95"/>
      <c r="K25" s="24">
        <f t="shared" si="3"/>
        <v>3.9632303148402874E-2</v>
      </c>
      <c r="L25" s="132">
        <v>0.89</v>
      </c>
      <c r="N25" s="40">
        <v>215897297</v>
      </c>
    </row>
    <row r="26" spans="1:14" s="20" customFormat="1" ht="26.25" customHeight="1">
      <c r="A26" s="108">
        <v>7</v>
      </c>
      <c r="B26" s="48" t="s">
        <v>94</v>
      </c>
      <c r="C26" s="151"/>
      <c r="D26" s="59">
        <v>2737000000</v>
      </c>
      <c r="E26" s="40">
        <f>170863663+275022413+204766663</f>
        <v>650652739</v>
      </c>
      <c r="F26" s="95"/>
      <c r="G26" s="95">
        <f t="shared" si="1"/>
        <v>0.23772478589696749</v>
      </c>
      <c r="H26" s="95">
        <f>E26/327603998</f>
        <v>1.9860952337950406</v>
      </c>
      <c r="I26" s="40">
        <v>1016766872</v>
      </c>
      <c r="J26" s="95"/>
      <c r="K26" s="24">
        <f t="shared" si="3"/>
        <v>0.37148954037267079</v>
      </c>
      <c r="L26" s="132">
        <v>1.04</v>
      </c>
      <c r="N26" s="40">
        <v>307167871</v>
      </c>
    </row>
    <row r="27" spans="1:14" s="20" customFormat="1" ht="26.25" customHeight="1">
      <c r="A27" s="108">
        <v>8</v>
      </c>
      <c r="B27" s="48" t="s">
        <v>95</v>
      </c>
      <c r="C27" s="151">
        <v>335205000000</v>
      </c>
      <c r="D27" s="59">
        <v>335205000000</v>
      </c>
      <c r="E27" s="40">
        <f>9885843667+18513803616</f>
        <v>28399647283</v>
      </c>
      <c r="F27" s="95">
        <f>E27/C27*100%</f>
        <v>8.4723220963291115E-2</v>
      </c>
      <c r="G27" s="95">
        <f t="shared" si="1"/>
        <v>8.4723220963291115E-2</v>
      </c>
      <c r="H27" s="95">
        <f>E27/24345313165</f>
        <v>1.1665344820385677</v>
      </c>
      <c r="I27" s="40">
        <v>30584332566</v>
      </c>
      <c r="J27" s="95">
        <f>I27/C27*100%</f>
        <v>9.1240681272654042E-2</v>
      </c>
      <c r="K27" s="24">
        <f t="shared" si="3"/>
        <v>9.1240681272654042E-2</v>
      </c>
      <c r="L27" s="132">
        <v>0.42</v>
      </c>
      <c r="N27" s="40">
        <v>36045559278</v>
      </c>
    </row>
    <row r="28" spans="1:14" s="20" customFormat="1" ht="26.25" customHeight="1">
      <c r="A28" s="108">
        <v>9</v>
      </c>
      <c r="B28" s="48" t="s">
        <v>96</v>
      </c>
      <c r="C28" s="151"/>
      <c r="D28" s="59">
        <v>238239000000</v>
      </c>
      <c r="E28" s="40">
        <f>22414160025+13486972334+11669822797</f>
        <v>47570955156</v>
      </c>
      <c r="F28" s="95"/>
      <c r="G28" s="95">
        <f t="shared" si="1"/>
        <v>0.19967744641305579</v>
      </c>
      <c r="H28" s="95">
        <f>E28/25969150316</f>
        <v>1.8318256306865299</v>
      </c>
      <c r="I28" s="40">
        <v>56857272187</v>
      </c>
      <c r="J28" s="95"/>
      <c r="K28" s="24">
        <f t="shared" si="3"/>
        <v>0.23865644242546349</v>
      </c>
      <c r="L28" s="132">
        <v>0.73</v>
      </c>
      <c r="N28" s="40">
        <v>31635166155</v>
      </c>
    </row>
    <row r="29" spans="1:14" s="20" customFormat="1" ht="26.25" customHeight="1">
      <c r="A29" s="108">
        <v>10</v>
      </c>
      <c r="B29" s="48" t="s">
        <v>153</v>
      </c>
      <c r="C29" s="151"/>
      <c r="D29" s="59">
        <v>97885000000</v>
      </c>
      <c r="E29" s="40">
        <f>7440276899+2935613291+4158624186</f>
        <v>14534514376</v>
      </c>
      <c r="F29" s="95"/>
      <c r="G29" s="95">
        <f t="shared" si="1"/>
        <v>0.14848561450681921</v>
      </c>
      <c r="H29" s="95">
        <f>E29/14034717411</f>
        <v>1.0356114733459667</v>
      </c>
      <c r="I29" s="40">
        <v>42421551029</v>
      </c>
      <c r="J29" s="95"/>
      <c r="K29" s="24">
        <f t="shared" si="3"/>
        <v>0.43338152964192678</v>
      </c>
      <c r="L29" s="132">
        <v>1.01</v>
      </c>
      <c r="N29" s="40">
        <v>26207290646</v>
      </c>
    </row>
    <row r="30" spans="1:14" s="20" customFormat="1" ht="26.25" customHeight="1">
      <c r="A30" s="108">
        <v>11</v>
      </c>
      <c r="B30" s="48" t="s">
        <v>97</v>
      </c>
      <c r="C30" s="151"/>
      <c r="D30" s="59">
        <v>171240000000</v>
      </c>
      <c r="E30" s="152">
        <f>14304640000+20554590264+13553840000</f>
        <v>48413070264</v>
      </c>
      <c r="F30" s="95"/>
      <c r="G30" s="95">
        <f t="shared" si="1"/>
        <v>0.28272056916608268</v>
      </c>
      <c r="H30" s="95">
        <f>E30/25580020191</f>
        <v>1.8926126681101492</v>
      </c>
      <c r="I30" s="40">
        <v>113664525764</v>
      </c>
      <c r="J30" s="95"/>
      <c r="K30" s="24">
        <f t="shared" si="3"/>
        <v>0.66377321749591212</v>
      </c>
      <c r="L30" s="131">
        <v>1.48</v>
      </c>
      <c r="N30" s="40">
        <v>41089050000</v>
      </c>
    </row>
    <row r="31" spans="1:14" s="20" customFormat="1" ht="26.25" customHeight="1">
      <c r="A31" s="111">
        <v>12</v>
      </c>
      <c r="B31" s="153" t="s">
        <v>98</v>
      </c>
      <c r="C31" s="154"/>
      <c r="D31" s="112">
        <v>5000000000</v>
      </c>
      <c r="E31" s="36">
        <v>100816000</v>
      </c>
      <c r="F31" s="104"/>
      <c r="G31" s="104">
        <f t="shared" si="1"/>
        <v>2.0163199999999999E-2</v>
      </c>
      <c r="H31" s="104">
        <v>0</v>
      </c>
      <c r="I31" s="113">
        <v>206080000</v>
      </c>
      <c r="J31" s="104"/>
      <c r="K31" s="24">
        <f t="shared" si="3"/>
        <v>4.1216000000000003E-2</v>
      </c>
      <c r="L31" s="130">
        <v>0</v>
      </c>
      <c r="N31" s="38">
        <f t="shared" ref="N31" si="10">M31</f>
        <v>0</v>
      </c>
    </row>
    <row r="32" spans="1:14" s="20" customFormat="1" ht="26.25" customHeight="1">
      <c r="A32" s="41" t="s">
        <v>99</v>
      </c>
      <c r="B32" s="155" t="s">
        <v>100</v>
      </c>
      <c r="C32" s="156"/>
      <c r="D32" s="42">
        <f>D34</f>
        <v>272385000000</v>
      </c>
      <c r="E32" s="42">
        <f>SUM(E33:E34)</f>
        <v>61211211813</v>
      </c>
      <c r="F32" s="110"/>
      <c r="G32" s="110">
        <f t="shared" si="1"/>
        <v>0.22472313751858583</v>
      </c>
      <c r="H32" s="110">
        <f>E32/36264258978</f>
        <v>1.6879212077691776</v>
      </c>
      <c r="I32" s="42">
        <f>SUM(I33:I34)</f>
        <v>114796069530</v>
      </c>
      <c r="J32" s="110"/>
      <c r="K32" s="24">
        <f t="shared" si="3"/>
        <v>0.42144783864750263</v>
      </c>
      <c r="L32" s="130">
        <v>1.06</v>
      </c>
      <c r="N32" s="42">
        <f>N33+N34</f>
        <v>46733315630</v>
      </c>
    </row>
    <row r="33" spans="1:14" s="20" customFormat="1" ht="18.75" customHeight="1">
      <c r="A33" s="43">
        <v>1</v>
      </c>
      <c r="B33" s="157" t="s">
        <v>36</v>
      </c>
      <c r="C33" s="156"/>
      <c r="D33" s="36">
        <v>0</v>
      </c>
      <c r="E33" s="36">
        <f>165000000+275000000</f>
        <v>440000000</v>
      </c>
      <c r="F33" s="110"/>
      <c r="G33" s="110"/>
      <c r="H33" s="110">
        <v>0</v>
      </c>
      <c r="I33" s="36">
        <v>2825000000</v>
      </c>
      <c r="J33" s="110"/>
      <c r="K33" s="24"/>
      <c r="L33" s="130">
        <v>0</v>
      </c>
      <c r="M33" s="25"/>
      <c r="N33" s="44"/>
    </row>
    <row r="34" spans="1:14" s="20" customFormat="1">
      <c r="A34" s="46">
        <v>2</v>
      </c>
      <c r="B34" s="155" t="s">
        <v>25</v>
      </c>
      <c r="C34" s="156"/>
      <c r="D34" s="28">
        <f>SUM(D35:D44)</f>
        <v>272385000000</v>
      </c>
      <c r="E34" s="28">
        <f t="shared" ref="E34" si="11">SUM(E35:E44)</f>
        <v>60771211813</v>
      </c>
      <c r="F34" s="110"/>
      <c r="G34" s="110">
        <f t="shared" ref="G34:G39" si="12">E34/D34*100%</f>
        <v>0.22310777690768582</v>
      </c>
      <c r="H34" s="110">
        <f>E34/36264258978</f>
        <v>1.6757880493261241</v>
      </c>
      <c r="I34" s="28">
        <f t="shared" ref="I34" si="13">SUM(I35:I44)</f>
        <v>111971069530</v>
      </c>
      <c r="J34" s="110"/>
      <c r="K34" s="24">
        <f t="shared" ref="K34:K39" si="14">I34/D34*100%</f>
        <v>0.4110764892707014</v>
      </c>
      <c r="L34" s="130">
        <v>1.03</v>
      </c>
      <c r="N34" s="28">
        <f t="shared" ref="N34" si="15">SUM(N35:N44)</f>
        <v>46733315630</v>
      </c>
    </row>
    <row r="35" spans="1:14" s="20" customFormat="1">
      <c r="A35" s="128" t="s">
        <v>101</v>
      </c>
      <c r="B35" s="144" t="s">
        <v>89</v>
      </c>
      <c r="C35" s="158"/>
      <c r="D35" s="49">
        <v>24557000000</v>
      </c>
      <c r="E35" s="49">
        <f>2513237664+1262804880+1771185521</f>
        <v>5547228065</v>
      </c>
      <c r="F35" s="109"/>
      <c r="G35" s="109">
        <f t="shared" si="12"/>
        <v>0.22589192755629758</v>
      </c>
      <c r="H35" s="109">
        <f>E35/2472908894</f>
        <v>2.2431995284821036</v>
      </c>
      <c r="I35" s="49">
        <v>8490881591</v>
      </c>
      <c r="J35" s="109"/>
      <c r="K35" s="136">
        <f t="shared" si="14"/>
        <v>0.34576216927963516</v>
      </c>
      <c r="L35" s="132">
        <v>1.1399999999999999</v>
      </c>
      <c r="N35" s="47">
        <v>2703062729</v>
      </c>
    </row>
    <row r="36" spans="1:14" s="20" customFormat="1">
      <c r="A36" s="108" t="s">
        <v>102</v>
      </c>
      <c r="B36" s="146" t="s">
        <v>24</v>
      </c>
      <c r="C36" s="159"/>
      <c r="D36" s="40">
        <v>44557000000</v>
      </c>
      <c r="E36" s="40">
        <f>3257050703+3457996500+3710766264</f>
        <v>10425813467</v>
      </c>
      <c r="F36" s="95"/>
      <c r="G36" s="95">
        <f t="shared" si="12"/>
        <v>0.23398822782054446</v>
      </c>
      <c r="H36" s="95">
        <f>E36/5780208284</f>
        <v>1.803708959045532</v>
      </c>
      <c r="I36" s="40">
        <v>18870177389</v>
      </c>
      <c r="J36" s="95"/>
      <c r="K36" s="24">
        <f t="shared" si="14"/>
        <v>0.42350646113966378</v>
      </c>
      <c r="L36" s="132">
        <v>1.0900000000000001</v>
      </c>
      <c r="N36" s="40">
        <v>6932257569</v>
      </c>
    </row>
    <row r="37" spans="1:14" s="20" customFormat="1">
      <c r="A37" s="108" t="s">
        <v>103</v>
      </c>
      <c r="B37" s="48" t="s">
        <v>92</v>
      </c>
      <c r="C37" s="159"/>
      <c r="D37" s="40">
        <v>1212000000</v>
      </c>
      <c r="E37" s="40">
        <f>66140983+87218500+88034599</f>
        <v>241394082</v>
      </c>
      <c r="F37" s="95"/>
      <c r="G37" s="95">
        <f t="shared" si="12"/>
        <v>0.19917003465346533</v>
      </c>
      <c r="H37" s="95">
        <f>E37/149693590</f>
        <v>1.6125879671935184</v>
      </c>
      <c r="I37" s="40">
        <v>646761179</v>
      </c>
      <c r="J37" s="95"/>
      <c r="K37" s="24">
        <f t="shared" si="14"/>
        <v>0.53363133580858091</v>
      </c>
      <c r="L37" s="132"/>
      <c r="N37" s="40">
        <v>198138800</v>
      </c>
    </row>
    <row r="38" spans="1:14" s="20" customFormat="1">
      <c r="A38" s="108" t="s">
        <v>104</v>
      </c>
      <c r="B38" s="48" t="s">
        <v>93</v>
      </c>
      <c r="C38" s="159"/>
      <c r="D38" s="40">
        <v>1004000000</v>
      </c>
      <c r="E38" s="40">
        <f>27139540+13205853+54794468</f>
        <v>95139861</v>
      </c>
      <c r="F38" s="95"/>
      <c r="G38" s="95">
        <f t="shared" si="12"/>
        <v>9.4760817729083666E-2</v>
      </c>
      <c r="H38" s="95">
        <f>E38/32898332</f>
        <v>2.8919357066492002</v>
      </c>
      <c r="I38" s="40">
        <v>146968406</v>
      </c>
      <c r="J38" s="95"/>
      <c r="K38" s="24">
        <f t="shared" si="14"/>
        <v>0.14638287450199203</v>
      </c>
      <c r="L38" s="132"/>
      <c r="N38" s="40">
        <v>14825808</v>
      </c>
    </row>
    <row r="39" spans="1:14" s="20" customFormat="1">
      <c r="A39" s="108" t="s">
        <v>105</v>
      </c>
      <c r="B39" s="48" t="s">
        <v>94</v>
      </c>
      <c r="C39" s="159"/>
      <c r="D39" s="40">
        <v>1146000000</v>
      </c>
      <c r="E39" s="40">
        <f>157460000+91629000+40142000</f>
        <v>289231000</v>
      </c>
      <c r="F39" s="95"/>
      <c r="G39" s="95">
        <f t="shared" si="12"/>
        <v>0.25238307155322864</v>
      </c>
      <c r="H39" s="95">
        <f>E39/94210100</f>
        <v>3.0700636131370205</v>
      </c>
      <c r="I39" s="40">
        <v>373575500</v>
      </c>
      <c r="J39" s="95"/>
      <c r="K39" s="24">
        <f t="shared" si="14"/>
        <v>0.32598211169284469</v>
      </c>
      <c r="L39" s="132"/>
      <c r="N39" s="40">
        <v>49686040</v>
      </c>
    </row>
    <row r="40" spans="1:14" s="20" customFormat="1">
      <c r="A40" s="108" t="s">
        <v>106</v>
      </c>
      <c r="B40" s="48" t="s">
        <v>95</v>
      </c>
      <c r="C40" s="159"/>
      <c r="D40" s="40">
        <v>0</v>
      </c>
      <c r="E40" s="40">
        <f>10434800+25177920+20210000</f>
        <v>55822720</v>
      </c>
      <c r="F40" s="95"/>
      <c r="G40" s="95"/>
      <c r="H40" s="95">
        <f>E40/10967403</f>
        <v>5.0898758803702204</v>
      </c>
      <c r="I40" s="40">
        <v>79424441</v>
      </c>
      <c r="J40" s="95"/>
      <c r="K40" s="24"/>
      <c r="L40" s="132"/>
      <c r="N40" s="40">
        <v>9700000</v>
      </c>
    </row>
    <row r="41" spans="1:14" s="20" customFormat="1">
      <c r="A41" s="108" t="s">
        <v>107</v>
      </c>
      <c r="B41" s="48" t="s">
        <v>96</v>
      </c>
      <c r="C41" s="159"/>
      <c r="D41" s="40">
        <v>3380000000</v>
      </c>
      <c r="E41" s="40">
        <f>133536375+114766331+131696571</f>
        <v>379999277</v>
      </c>
      <c r="F41" s="95"/>
      <c r="G41" s="95">
        <f>E41/D41*100%</f>
        <v>0.11242582159763313</v>
      </c>
      <c r="H41" s="95">
        <f>E41/110553490</f>
        <v>3.4372436094057277</v>
      </c>
      <c r="I41" s="40">
        <v>496086036</v>
      </c>
      <c r="J41" s="91"/>
      <c r="K41" s="24">
        <f>I41/D41*100%</f>
        <v>0.14677101656804734</v>
      </c>
      <c r="L41" s="132"/>
      <c r="N41" s="40">
        <v>184436145</v>
      </c>
    </row>
    <row r="42" spans="1:14" s="20" customFormat="1">
      <c r="A42" s="108" t="s">
        <v>108</v>
      </c>
      <c r="B42" s="48" t="s">
        <v>109</v>
      </c>
      <c r="C42" s="159"/>
      <c r="D42" s="40">
        <v>160075000000</v>
      </c>
      <c r="E42" s="40">
        <f>11397746041+9715297493+14594249382</f>
        <v>35707292916</v>
      </c>
      <c r="F42" s="95"/>
      <c r="G42" s="95">
        <f>E42/D42*100%</f>
        <v>0.22306601852881461</v>
      </c>
      <c r="H42" s="95">
        <f>E42/23595572614</f>
        <v>1.5133047839158493</v>
      </c>
      <c r="I42" s="40">
        <v>68882447428</v>
      </c>
      <c r="J42" s="91"/>
      <c r="K42" s="24">
        <f>I42/D42*100%</f>
        <v>0.43031358693112604</v>
      </c>
      <c r="L42" s="132"/>
      <c r="N42" s="40">
        <v>31646095579</v>
      </c>
    </row>
    <row r="43" spans="1:14" s="20" customFormat="1">
      <c r="A43" s="108" t="s">
        <v>110</v>
      </c>
      <c r="B43" s="48" t="s">
        <v>97</v>
      </c>
      <c r="C43" s="159"/>
      <c r="D43" s="40">
        <v>939000000</v>
      </c>
      <c r="E43" s="152">
        <f>14637000+20807000+10960000</f>
        <v>46404000</v>
      </c>
      <c r="F43" s="95"/>
      <c r="G43" s="95">
        <f>E43/D43*100%</f>
        <v>4.9418530351437701E-2</v>
      </c>
      <c r="H43" s="95">
        <f>E43/44419991</f>
        <v>1.0446647771720621</v>
      </c>
      <c r="I43" s="40">
        <v>159293000</v>
      </c>
      <c r="J43" s="91"/>
      <c r="K43" s="24">
        <f>I43/D43*100%</f>
        <v>0.16964110756123535</v>
      </c>
      <c r="L43" s="131"/>
      <c r="N43" s="40">
        <v>67542000</v>
      </c>
    </row>
    <row r="44" spans="1:14" s="20" customFormat="1">
      <c r="A44" s="111" t="s">
        <v>111</v>
      </c>
      <c r="B44" s="153" t="s">
        <v>98</v>
      </c>
      <c r="C44" s="150"/>
      <c r="D44" s="113">
        <v>35515000000</v>
      </c>
      <c r="E44" s="113">
        <f>1587583876+1556354153+4838948396</f>
        <v>7982886425</v>
      </c>
      <c r="F44" s="104"/>
      <c r="G44" s="104">
        <f>E44/D44*100%</f>
        <v>0.22477506476136844</v>
      </c>
      <c r="H44" s="104">
        <f>E44/3972826281</f>
        <v>2.0093721346886149</v>
      </c>
      <c r="I44" s="113">
        <v>13825454560</v>
      </c>
      <c r="J44" s="114"/>
      <c r="K44" s="24">
        <f>I44/D44*100%</f>
        <v>0.38928493763198646</v>
      </c>
      <c r="L44" s="130"/>
      <c r="N44" s="49">
        <v>4927570960</v>
      </c>
    </row>
    <row r="45" spans="1:14" s="20" customFormat="1" ht="27" customHeight="1">
      <c r="A45" s="41" t="s">
        <v>9</v>
      </c>
      <c r="B45" s="160" t="s">
        <v>154</v>
      </c>
      <c r="C45" s="156"/>
      <c r="D45" s="35"/>
      <c r="E45" s="28"/>
      <c r="F45" s="110"/>
      <c r="G45" s="110"/>
      <c r="H45" s="110"/>
      <c r="I45" s="28"/>
      <c r="J45" s="28"/>
      <c r="K45" s="24"/>
      <c r="L45" s="130">
        <f>I45/11000</f>
        <v>0</v>
      </c>
      <c r="N45" s="50"/>
    </row>
    <row r="46" spans="1:14" s="20" customFormat="1" ht="33" customHeight="1">
      <c r="A46" s="41" t="s">
        <v>11</v>
      </c>
      <c r="B46" s="160" t="s">
        <v>112</v>
      </c>
      <c r="C46" s="161"/>
      <c r="D46" s="35">
        <v>11000000000</v>
      </c>
      <c r="E46" s="28"/>
      <c r="F46" s="110"/>
      <c r="G46" s="110">
        <f>E46/D46*100%</f>
        <v>0</v>
      </c>
      <c r="H46" s="110"/>
      <c r="I46" s="28">
        <v>10000000000</v>
      </c>
      <c r="J46" s="74"/>
      <c r="K46" s="24">
        <f>I46/D46*100%</f>
        <v>0.90909090909090906</v>
      </c>
      <c r="L46" s="24"/>
      <c r="N46" s="50">
        <v>11000000000</v>
      </c>
    </row>
    <row r="47" spans="1:14" s="29" customFormat="1">
      <c r="A47" s="51" t="s">
        <v>45</v>
      </c>
      <c r="B47" s="117" t="s">
        <v>155</v>
      </c>
      <c r="C47" s="118"/>
      <c r="D47" s="28"/>
      <c r="E47" s="35">
        <f>E48</f>
        <v>0</v>
      </c>
      <c r="F47" s="110"/>
      <c r="G47" s="110"/>
      <c r="H47" s="110"/>
      <c r="I47" s="28"/>
      <c r="J47" s="28"/>
      <c r="K47" s="24"/>
      <c r="L47" s="24"/>
      <c r="N47" s="52">
        <v>0</v>
      </c>
    </row>
    <row r="48" spans="1:14" s="29" customFormat="1">
      <c r="A48" s="51" t="s">
        <v>145</v>
      </c>
      <c r="B48" s="155" t="s">
        <v>117</v>
      </c>
      <c r="C48" s="28">
        <v>59200000000</v>
      </c>
      <c r="D48" s="28">
        <f>D49+D50</f>
        <v>59200000000</v>
      </c>
      <c r="E48" s="28">
        <f>E49+E50</f>
        <v>0</v>
      </c>
      <c r="F48" s="110">
        <f>E48/C48*100%</f>
        <v>0</v>
      </c>
      <c r="G48" s="110">
        <f>E48/D48*100%</f>
        <v>0</v>
      </c>
      <c r="H48" s="110"/>
      <c r="I48" s="28"/>
      <c r="J48" s="28"/>
      <c r="K48" s="24"/>
      <c r="L48" s="24"/>
      <c r="N48" s="92"/>
    </row>
    <row r="49" spans="1:14" s="29" customFormat="1">
      <c r="A49" s="115"/>
      <c r="B49" s="145" t="s">
        <v>88</v>
      </c>
      <c r="C49" s="116"/>
      <c r="D49" s="49">
        <v>53755000000</v>
      </c>
      <c r="E49" s="137"/>
      <c r="F49" s="109"/>
      <c r="G49" s="109">
        <f>E49/D49*100%</f>
        <v>0</v>
      </c>
      <c r="H49" s="109"/>
      <c r="I49" s="116"/>
      <c r="J49" s="116"/>
      <c r="K49" s="24"/>
      <c r="L49" s="71"/>
      <c r="N49" s="92"/>
    </row>
    <row r="50" spans="1:14" s="29" customFormat="1">
      <c r="A50" s="119"/>
      <c r="B50" s="125" t="s">
        <v>118</v>
      </c>
      <c r="C50" s="121"/>
      <c r="D50" s="113">
        <v>5445000000</v>
      </c>
      <c r="E50" s="55"/>
      <c r="F50" s="104"/>
      <c r="G50" s="104">
        <f>E50/D50*100%</f>
        <v>0</v>
      </c>
      <c r="H50" s="104"/>
      <c r="I50" s="121"/>
      <c r="J50" s="121"/>
      <c r="K50" s="24"/>
      <c r="L50" s="122"/>
      <c r="N50" s="92"/>
    </row>
    <row r="51" spans="1:14" s="29" customFormat="1">
      <c r="A51" s="51" t="s">
        <v>147</v>
      </c>
      <c r="B51" s="155" t="s">
        <v>33</v>
      </c>
      <c r="C51" s="28"/>
      <c r="D51" s="28">
        <v>883000000</v>
      </c>
      <c r="E51" s="28"/>
      <c r="F51" s="110"/>
      <c r="G51" s="110">
        <f>E51/D51*100%</f>
        <v>0</v>
      </c>
      <c r="H51" s="110"/>
      <c r="I51" s="28"/>
      <c r="J51" s="28"/>
      <c r="K51" s="24"/>
      <c r="L51" s="24"/>
      <c r="N51" s="92"/>
    </row>
    <row r="52" spans="1:14" s="20" customFormat="1">
      <c r="A52" s="41" t="s">
        <v>2</v>
      </c>
      <c r="B52" s="155" t="s">
        <v>113</v>
      </c>
      <c r="C52" s="156"/>
      <c r="D52" s="35">
        <f>D53</f>
        <v>0</v>
      </c>
      <c r="E52" s="35">
        <f>E53</f>
        <v>28238669484</v>
      </c>
      <c r="F52" s="24"/>
      <c r="G52" s="24"/>
      <c r="H52" s="24"/>
      <c r="I52" s="35">
        <f>I53</f>
        <v>43530000000</v>
      </c>
      <c r="J52" s="35"/>
      <c r="K52" s="24"/>
      <c r="L52" s="24"/>
      <c r="N52" s="45">
        <f>N53</f>
        <v>25517000000</v>
      </c>
    </row>
    <row r="53" spans="1:14" s="20" customFormat="1">
      <c r="A53" s="123"/>
      <c r="B53" s="162" t="s">
        <v>114</v>
      </c>
      <c r="C53" s="145"/>
      <c r="D53" s="129"/>
      <c r="E53" s="124">
        <f>SUM(E54:E55)</f>
        <v>28238669484</v>
      </c>
      <c r="F53" s="71"/>
      <c r="G53" s="71"/>
      <c r="H53" s="71"/>
      <c r="I53" s="124">
        <f>SUM(I54:I55)</f>
        <v>43530000000</v>
      </c>
      <c r="J53" s="71"/>
      <c r="K53" s="24"/>
      <c r="L53" s="71"/>
      <c r="N53" s="54">
        <f>SUM(N54:N55)</f>
        <v>25517000000</v>
      </c>
    </row>
    <row r="54" spans="1:14" s="20" customFormat="1" ht="21" customHeight="1">
      <c r="A54" s="72">
        <v>1</v>
      </c>
      <c r="B54" s="147" t="s">
        <v>115</v>
      </c>
      <c r="C54" s="147"/>
      <c r="D54" s="59"/>
      <c r="E54" s="59">
        <f>7048000000+5340000000+10314000000</f>
        <v>22702000000</v>
      </c>
      <c r="F54" s="73"/>
      <c r="G54" s="73"/>
      <c r="H54" s="73"/>
      <c r="I54" s="59">
        <v>37993000000</v>
      </c>
      <c r="J54" s="73"/>
      <c r="K54" s="24"/>
      <c r="L54" s="73"/>
      <c r="N54" s="53">
        <v>25517000000</v>
      </c>
    </row>
    <row r="55" spans="1:14" s="20" customFormat="1" ht="26.25" customHeight="1">
      <c r="A55" s="120">
        <v>2</v>
      </c>
      <c r="B55" s="125" t="s">
        <v>116</v>
      </c>
      <c r="C55" s="125"/>
      <c r="D55" s="112"/>
      <c r="E55" s="125">
        <f>1635000000+3410669484+491000000</f>
        <v>5536669484</v>
      </c>
      <c r="F55" s="112"/>
      <c r="G55" s="112"/>
      <c r="H55" s="112"/>
      <c r="I55" s="125">
        <v>5537000000</v>
      </c>
      <c r="J55" s="122"/>
      <c r="K55" s="24"/>
      <c r="L55" s="122"/>
      <c r="M55" s="1"/>
      <c r="N55" s="55">
        <v>0</v>
      </c>
    </row>
    <row r="56" spans="1:14" s="20" customFormat="1" ht="26.25" customHeight="1">
      <c r="A56" s="33" t="s">
        <v>10</v>
      </c>
      <c r="B56" s="142" t="s">
        <v>48</v>
      </c>
      <c r="C56" s="143"/>
      <c r="D56" s="35">
        <v>0</v>
      </c>
      <c r="E56" s="35">
        <f>915862209+87000000+883435322+594400</f>
        <v>1886891931</v>
      </c>
      <c r="F56" s="45"/>
      <c r="G56" s="45"/>
      <c r="H56" s="45"/>
      <c r="I56" s="35">
        <v>68426447921</v>
      </c>
      <c r="J56" s="45"/>
      <c r="K56" s="24"/>
      <c r="L56" s="134"/>
      <c r="N56" s="45">
        <v>26825994349</v>
      </c>
    </row>
    <row r="57" spans="1:14" s="20" customFormat="1" ht="26.25" customHeight="1">
      <c r="A57" s="33" t="s">
        <v>23</v>
      </c>
      <c r="B57" s="142" t="s">
        <v>120</v>
      </c>
      <c r="C57" s="143"/>
      <c r="D57" s="35">
        <v>0</v>
      </c>
      <c r="E57" s="35"/>
      <c r="F57" s="100"/>
      <c r="G57" s="100"/>
      <c r="H57" s="100"/>
      <c r="I57" s="75"/>
      <c r="J57" s="75"/>
      <c r="K57" s="24"/>
      <c r="L57" s="135"/>
      <c r="N57" s="76"/>
    </row>
    <row r="58" spans="1:14" s="20" customFormat="1" ht="26.25" customHeight="1">
      <c r="A58" s="33" t="s">
        <v>119</v>
      </c>
      <c r="B58" s="33" t="s">
        <v>174</v>
      </c>
      <c r="C58" s="34"/>
      <c r="D58" s="75">
        <v>0</v>
      </c>
      <c r="E58" s="75"/>
      <c r="F58" s="100"/>
      <c r="G58" s="100"/>
      <c r="H58" s="100"/>
      <c r="I58" s="75">
        <v>115993082000</v>
      </c>
      <c r="J58" s="75"/>
      <c r="K58" s="24"/>
      <c r="L58" s="135"/>
      <c r="N58" s="77">
        <v>211732505077</v>
      </c>
    </row>
    <row r="59" spans="1:14" ht="26.25" customHeight="1">
      <c r="D59" s="63"/>
      <c r="G59" s="99"/>
      <c r="I59" s="19"/>
      <c r="J59" s="106"/>
    </row>
    <row r="60" spans="1:14" ht="26.25" customHeight="1">
      <c r="B60" s="56"/>
      <c r="G60" s="99"/>
    </row>
    <row r="61" spans="1:14" ht="26.25" customHeight="1">
      <c r="G61" s="99"/>
    </row>
    <row r="62" spans="1:14" ht="26.25" customHeight="1">
      <c r="G62" s="99"/>
    </row>
    <row r="63" spans="1:14" ht="26.25" customHeight="1">
      <c r="C63"/>
      <c r="G63" s="99"/>
    </row>
    <row r="64" spans="1:14" ht="26.25" customHeight="1">
      <c r="B64" s="57"/>
      <c r="C64"/>
      <c r="G64" s="99"/>
    </row>
    <row r="65" spans="2:7" ht="26.25" customHeight="1">
      <c r="B65" s="57"/>
      <c r="C65"/>
      <c r="G65" s="99"/>
    </row>
    <row r="66" spans="2:7" ht="26.25" customHeight="1">
      <c r="B66" s="57"/>
      <c r="C66"/>
      <c r="G66" s="99"/>
    </row>
    <row r="67" spans="2:7" ht="26.25" customHeight="1">
      <c r="C67"/>
      <c r="G67" s="99"/>
    </row>
    <row r="68" spans="2:7" ht="26.25" customHeight="1">
      <c r="C68"/>
      <c r="G68" s="99"/>
    </row>
    <row r="69" spans="2:7" ht="26.25" customHeight="1">
      <c r="C69"/>
      <c r="G69" s="99"/>
    </row>
    <row r="70" spans="2:7">
      <c r="G70" s="98"/>
    </row>
  </sheetData>
  <mergeCells count="19">
    <mergeCell ref="J7:J8"/>
    <mergeCell ref="H7:H8"/>
    <mergeCell ref="C7:C8"/>
    <mergeCell ref="L7:L8"/>
    <mergeCell ref="N7:N8"/>
    <mergeCell ref="A1:B1"/>
    <mergeCell ref="A2:B2"/>
    <mergeCell ref="D1:K1"/>
    <mergeCell ref="D2:K2"/>
    <mergeCell ref="A4:K4"/>
    <mergeCell ref="D7:D8"/>
    <mergeCell ref="E7:E8"/>
    <mergeCell ref="F7:F8"/>
    <mergeCell ref="I7:I8"/>
    <mergeCell ref="K7:K8"/>
    <mergeCell ref="A5:D5"/>
    <mergeCell ref="A7:A8"/>
    <mergeCell ref="B7:B8"/>
    <mergeCell ref="G7:G8"/>
  </mergeCells>
  <pageMargins left="0.7" right="0.7" top="0.75" bottom="0.75" header="0.3" footer="0.3"/>
  <pageSetup paperSize="9"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6002A0-7425-419A-8871-721DA6975762}"/>
</file>

<file path=customXml/itemProps2.xml><?xml version="1.0" encoding="utf-8"?>
<ds:datastoreItem xmlns:ds="http://schemas.openxmlformats.org/officeDocument/2006/customXml" ds:itemID="{36C45846-896D-4042-9A03-CE68CF032BEA}"/>
</file>

<file path=customXml/itemProps3.xml><?xml version="1.0" encoding="utf-8"?>
<ds:datastoreItem xmlns:ds="http://schemas.openxmlformats.org/officeDocument/2006/customXml" ds:itemID="{14A82224-3EB6-4374-96F4-3A14BFB06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MAU 93-ck (2)</vt:lpstr>
      <vt:lpstr>MAU 94-ck (4)</vt:lpstr>
      <vt:lpstr>MAU 95-CK </vt:lpstr>
      <vt:lpstr>'MAU 93-ck (2)'!Print_Titles</vt:lpstr>
      <vt:lpstr>'MAU 94-ck (4)'!Print_Titles</vt:lpstr>
      <vt:lpstr>'MAU 95-CK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VU BH</dc:creator>
  <cp:lastModifiedBy>Administrator</cp:lastModifiedBy>
  <cp:lastPrinted>2023-07-12T02:26:53Z</cp:lastPrinted>
  <dcterms:created xsi:type="dcterms:W3CDTF">2017-07-22T05:53:59Z</dcterms:created>
  <dcterms:modified xsi:type="dcterms:W3CDTF">2023-07-12T02:29:29Z</dcterms:modified>
</cp:coreProperties>
</file>